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חזות שמעון - גמזו/פרוייקט בדיקת התכנות/בדיקת התכנות/"/>
    </mc:Choice>
  </mc:AlternateContent>
  <xr:revisionPtr revIDLastSave="393" documentId="8_{E9A5D54E-385F-4F6C-AF2C-D62B03C85759}" xr6:coauthVersionLast="47" xr6:coauthVersionMax="47" xr10:uidLastSave="{FA8EE579-894F-48A4-9EA7-5C15ABF1271E}"/>
  <bookViews>
    <workbookView minimized="1" xWindow="-26625" yWindow="3285" windowWidth="21600" windowHeight="11235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תבעות!$A$2:$F$7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0" l="1"/>
  <c r="J16" i="10"/>
  <c r="V30" i="10"/>
  <c r="V34" i="10"/>
  <c r="T26" i="10"/>
  <c r="G90" i="3"/>
  <c r="G49" i="3"/>
  <c r="I49" i="3" s="1"/>
  <c r="B51" i="3"/>
  <c r="B54" i="3" s="1"/>
  <c r="B55" i="3" s="1"/>
  <c r="J31" i="5"/>
  <c r="J32" i="5"/>
  <c r="K32" i="5"/>
  <c r="B6" i="3"/>
  <c r="D6" i="3" s="1"/>
  <c r="D13" i="3" s="1"/>
  <c r="D14" i="3" s="1"/>
  <c r="B8" i="3"/>
  <c r="B9" i="3"/>
  <c r="B11" i="3"/>
  <c r="D11" i="3" s="1"/>
  <c r="M63" i="5"/>
  <c r="L65" i="5"/>
  <c r="L67" i="5"/>
  <c r="C6" i="5"/>
  <c r="L52" i="5"/>
  <c r="L53" i="5"/>
  <c r="L55" i="5"/>
  <c r="M51" i="5"/>
  <c r="J37" i="10"/>
  <c r="M64" i="5"/>
  <c r="M65" i="5"/>
  <c r="M67" i="5" s="1"/>
  <c r="M52" i="5"/>
  <c r="M53" i="5"/>
  <c r="M55" i="5" s="1"/>
  <c r="E91" i="5"/>
  <c r="E90" i="5"/>
  <c r="E88" i="5"/>
  <c r="C87" i="5"/>
  <c r="C89" i="5" s="1"/>
  <c r="E89" i="5" s="1"/>
  <c r="C92" i="5"/>
  <c r="E92" i="5"/>
  <c r="K81" i="5"/>
  <c r="E81" i="5"/>
  <c r="L81" i="5"/>
  <c r="E94" i="5" s="1"/>
  <c r="E95" i="5" s="1"/>
  <c r="E87" i="5"/>
  <c r="D13" i="4"/>
  <c r="E13" i="4"/>
  <c r="K3" i="4"/>
  <c r="K13" i="4" s="1"/>
  <c r="K25" i="4" s="1"/>
  <c r="F13" i="4"/>
  <c r="N18" i="10"/>
  <c r="D36" i="3"/>
  <c r="D33" i="3"/>
  <c r="L24" i="9"/>
  <c r="J24" i="9"/>
  <c r="L23" i="9"/>
  <c r="L22" i="9"/>
  <c r="L21" i="9"/>
  <c r="L20" i="9"/>
  <c r="C42" i="6"/>
  <c r="D42" i="6" s="1"/>
  <c r="B8" i="6"/>
  <c r="B32" i="6" s="1"/>
  <c r="H20" i="9"/>
  <c r="J20" i="9" s="1"/>
  <c r="H21" i="9"/>
  <c r="J21" i="9" s="1"/>
  <c r="J18" i="10"/>
  <c r="E93" i="5"/>
  <c r="L18" i="10"/>
  <c r="B5" i="6"/>
  <c r="D40" i="6"/>
  <c r="D39" i="6"/>
  <c r="D31" i="6"/>
  <c r="D32" i="6"/>
  <c r="C43" i="6"/>
  <c r="D43" i="6"/>
  <c r="C34" i="6"/>
  <c r="C35" i="6" s="1"/>
  <c r="D35" i="6" s="1"/>
  <c r="D34" i="6"/>
  <c r="H13" i="4"/>
  <c r="G13" i="4"/>
  <c r="I13" i="4"/>
  <c r="D24" i="4"/>
  <c r="F24" i="4"/>
  <c r="G24" i="4"/>
  <c r="H24" i="4"/>
  <c r="H25" i="4" s="1"/>
  <c r="I24" i="4"/>
  <c r="J13" i="4"/>
  <c r="J24" i="4"/>
  <c r="F28" i="4"/>
  <c r="C6" i="7"/>
  <c r="E5" i="7"/>
  <c r="E30" i="7"/>
  <c r="F30" i="7"/>
  <c r="E27" i="7"/>
  <c r="F27" i="7"/>
  <c r="D27" i="7"/>
  <c r="F26" i="7"/>
  <c r="C26" i="7"/>
  <c r="D26" i="7"/>
  <c r="E23" i="7"/>
  <c r="C23" i="7"/>
  <c r="E22" i="7"/>
  <c r="C22" i="7"/>
  <c r="C21" i="7"/>
  <c r="E20" i="7"/>
  <c r="E12" i="7"/>
  <c r="F12" i="7"/>
  <c r="F11" i="7"/>
  <c r="C11" i="7"/>
  <c r="D11" i="7"/>
  <c r="C8" i="7"/>
  <c r="E7" i="7"/>
  <c r="C7" i="7"/>
  <c r="I25" i="4"/>
  <c r="D25" i="4"/>
  <c r="G25" i="4"/>
  <c r="F25" i="4"/>
  <c r="D27" i="4"/>
  <c r="D9" i="6"/>
  <c r="T24" i="4"/>
  <c r="S24" i="4"/>
  <c r="R24" i="4"/>
  <c r="Q24" i="4"/>
  <c r="P24" i="4"/>
  <c r="O24" i="4"/>
  <c r="N24" i="4"/>
  <c r="N25" i="4" s="1"/>
  <c r="M24" i="4"/>
  <c r="M25" i="4" s="1"/>
  <c r="L24" i="4"/>
  <c r="L25" i="4" s="1"/>
  <c r="K24" i="4"/>
  <c r="D22" i="3"/>
  <c r="D10" i="3"/>
  <c r="D7" i="3"/>
  <c r="D5" i="3"/>
  <c r="D4" i="3"/>
  <c r="T13" i="4"/>
  <c r="T25" i="4" s="1"/>
  <c r="S13" i="4"/>
  <c r="S25" i="4" s="1"/>
  <c r="R13" i="4"/>
  <c r="R25" i="4" s="1"/>
  <c r="P13" i="4"/>
  <c r="P25" i="4" s="1"/>
  <c r="N13" i="4"/>
  <c r="M13" i="4"/>
  <c r="L13" i="4"/>
  <c r="Q13" i="4"/>
  <c r="O13" i="4"/>
  <c r="O25" i="4" s="1"/>
  <c r="H24" i="3"/>
  <c r="H25" i="3"/>
  <c r="Q25" i="4"/>
  <c r="F52" i="4"/>
  <c r="F54" i="4" s="1"/>
  <c r="G51" i="4"/>
  <c r="G50" i="4"/>
  <c r="G46" i="4"/>
  <c r="F47" i="4"/>
  <c r="D47" i="4"/>
  <c r="G45" i="4"/>
  <c r="D52" i="4"/>
  <c r="G12" i="6"/>
  <c r="G13" i="6"/>
  <c r="D54" i="4"/>
  <c r="G16" i="6"/>
  <c r="I78" i="3"/>
  <c r="I79" i="3" s="1"/>
  <c r="F70" i="3"/>
  <c r="I76" i="3"/>
  <c r="G75" i="3"/>
  <c r="I77" i="3"/>
  <c r="I74" i="3"/>
  <c r="I73" i="3"/>
  <c r="I72" i="3"/>
  <c r="I12" i="3"/>
  <c r="G10" i="3"/>
  <c r="I10" i="3"/>
  <c r="H7" i="3"/>
  <c r="I7" i="3" s="1"/>
  <c r="H6" i="3"/>
  <c r="H5" i="3"/>
  <c r="I5" i="3" s="1"/>
  <c r="H4" i="3"/>
  <c r="G7" i="3"/>
  <c r="F7" i="3"/>
  <c r="G5" i="3"/>
  <c r="F6" i="3"/>
  <c r="F5" i="3"/>
  <c r="F4" i="3"/>
  <c r="G4" i="3"/>
  <c r="D25" i="3"/>
  <c r="D21" i="3"/>
  <c r="D20" i="3"/>
  <c r="D19" i="3"/>
  <c r="G11" i="6"/>
  <c r="I48" i="3"/>
  <c r="F48" i="3"/>
  <c r="D49" i="3"/>
  <c r="D52" i="3"/>
  <c r="D50" i="3"/>
  <c r="F18" i="6"/>
  <c r="B56" i="3"/>
  <c r="D56" i="3" s="1"/>
  <c r="B4" i="6"/>
  <c r="I80" i="3"/>
  <c r="G79" i="3"/>
  <c r="I50" i="3"/>
  <c r="D53" i="3"/>
  <c r="D48" i="3"/>
  <c r="D24" i="6"/>
  <c r="F24" i="6" s="1"/>
  <c r="D23" i="6"/>
  <c r="F23" i="6"/>
  <c r="D22" i="6"/>
  <c r="F22" i="6" s="1"/>
  <c r="D21" i="6"/>
  <c r="F21" i="6"/>
  <c r="D20" i="6"/>
  <c r="D19" i="6"/>
  <c r="F19" i="6" s="1"/>
  <c r="D18" i="6"/>
  <c r="D17" i="6"/>
  <c r="F20" i="6"/>
  <c r="F34" i="4"/>
  <c r="D76" i="3"/>
  <c r="B75" i="3"/>
  <c r="B77" i="3" s="1"/>
  <c r="D77" i="3" s="1"/>
  <c r="D74" i="3"/>
  <c r="D73" i="3"/>
  <c r="D72" i="3"/>
  <c r="F32" i="4"/>
  <c r="F29" i="4"/>
  <c r="F38" i="4"/>
  <c r="G18" i="6"/>
  <c r="F33" i="4"/>
  <c r="G11" i="3"/>
  <c r="I11" i="3" s="1"/>
  <c r="B13" i="3"/>
  <c r="J51" i="3" l="1"/>
  <c r="D65" i="3" s="1"/>
  <c r="E97" i="5"/>
  <c r="B3" i="6"/>
  <c r="B16" i="6" s="1"/>
  <c r="D16" i="6" s="1"/>
  <c r="F16" i="6" s="1"/>
  <c r="H16" i="6" s="1"/>
  <c r="D41" i="3"/>
  <c r="D79" i="3"/>
  <c r="D80" i="3" s="1"/>
  <c r="B6" i="6" s="1"/>
  <c r="B11" i="6" s="1"/>
  <c r="D11" i="6" s="1"/>
  <c r="F11" i="6" s="1"/>
  <c r="H11" i="6" s="1"/>
  <c r="B79" i="3"/>
  <c r="I4" i="3"/>
  <c r="J25" i="4"/>
  <c r="D57" i="3"/>
  <c r="T30" i="10"/>
  <c r="T34" i="10"/>
  <c r="G47" i="4"/>
  <c r="D7" i="6"/>
  <c r="B12" i="6" s="1"/>
  <c r="B15" i="6"/>
  <c r="Q23" i="10"/>
  <c r="F35" i="4"/>
  <c r="F37" i="4" s="1"/>
  <c r="F39" i="4" s="1"/>
  <c r="D51" i="3"/>
  <c r="C15" i="6"/>
  <c r="G52" i="4"/>
  <c r="G54" i="4" s="1"/>
  <c r="G6" i="3"/>
  <c r="I6" i="3" s="1"/>
  <c r="H22" i="9"/>
  <c r="B31" i="6" l="1"/>
  <c r="B34" i="6" s="1"/>
  <c r="B35" i="6" s="1"/>
  <c r="I51" i="3"/>
  <c r="K51" i="3" s="1"/>
  <c r="M51" i="3" s="1"/>
  <c r="B7" i="6"/>
  <c r="B13" i="6" s="1"/>
  <c r="D13" i="6" s="1"/>
  <c r="F13" i="6" s="1"/>
  <c r="H13" i="6" s="1"/>
  <c r="B39" i="6"/>
  <c r="D61" i="3"/>
  <c r="D63" i="3" s="1"/>
  <c r="D64" i="3" s="1"/>
  <c r="D15" i="6"/>
  <c r="F15" i="6" s="1"/>
  <c r="J22" i="9"/>
  <c r="H23" i="9"/>
  <c r="J23" i="9" s="1"/>
  <c r="G8" i="3"/>
  <c r="G9" i="3" s="1"/>
  <c r="I13" i="3"/>
  <c r="I14" i="3" s="1"/>
  <c r="B2" i="6" s="1"/>
  <c r="G13" i="3"/>
  <c r="B14" i="6"/>
  <c r="D12" i="6"/>
  <c r="F12" i="6" s="1"/>
  <c r="K50" i="3"/>
  <c r="M50" i="3" s="1"/>
  <c r="M52" i="3" s="1"/>
  <c r="B40" i="6" l="1"/>
  <c r="B42" i="6"/>
  <c r="B43" i="6" s="1"/>
  <c r="F14" i="6"/>
  <c r="H12" i="6"/>
  <c r="H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<sst xmlns="http://schemas.openxmlformats.org/spreadsheetml/2006/main" count="418" uniqueCount="283">
  <si>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</si>
  <si>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</si>
  <si>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</si>
  <si>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</si>
  <si>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</si>
  <si>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</si>
  <si>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</si>
  <si>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</si>
  <si>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</si>
  <si>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</si>
  <si>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</si>
  <si>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</si>
  <si>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</si>
  <si>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</si>
  <si>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</si>
  <si>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</si>
  <si>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</si>
  <si>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</si>
  <si>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</si>
  <si>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</si>
  <si>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</si>
  <si>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</si>
  <si>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</si>
  <si>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</si>
  <si>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</si>
  <si>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</si>
  <si>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</si>
  <si>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</si>
  <si>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</si>
  <si>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</si>
  <si>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</si>
  <si>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</si>
  <si>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</si>
  <si>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</si>
  <si>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</si>
  <si>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</si>
  <si>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</si>
  <si>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</si>
  <si>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</si>
  <si>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</si>
  <si>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</si>
  <si>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</si>
  <si>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</si>
  <si>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</si>
  <si>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</si>
  <si>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</si>
  <si>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</si>
  <si>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</si>
  <si>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</si>
  <si>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</si>
  <si>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</si>
  <si>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</si>
  <si>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</si>
  <si>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</si>
  <si>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</si>
  <si>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</si>
  <si>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</si>
  <si>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</si>
  <si>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</si>
  <si>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</si>
  <si>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</si>
  <si>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</si>
  <si>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</si>
  <si>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</si>
  <si>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</si>
  <si>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</si>
  <si>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</si>
  <si>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</si>
  <si>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</si>
  <si>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</si>
  <si>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</si>
  <si>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</si>
  <si>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</si>
  <si>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</si>
  <si>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</si>
  <si>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</si>
  <si>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</si>
  <si>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</si>
  <si>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</si>
  <si>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</si>
  <si>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</si>
  <si>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</si>
  <si>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</si>
  <si>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</si>
  <si>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</si>
  <si>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</si>
  <si>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</si>
  <si>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</si>
  <si>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</si>
  <si>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</si>
  <si>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</si>
  <si>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</si>
  <si>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</si>
  <si>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</si>
  <si>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</si>
  <si>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</si>
  <si>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</si>
  <si>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</si>
  <si>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</si>
  <si>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</si>
  <si>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</si>
  <si>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</si>
  <si>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</si>
  <si>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</si>
  <si>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</si>
  <si>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</si>
  <si>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</si>
  <si>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</si>
  <si>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</si>
  <si>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</si>
  <si>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</si>
  <si>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</si>
  <si>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</si>
  <si>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</si>
  <si>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</si>
  <si>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</si>
  <si>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</si>
  <si>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</si>
  <si>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</si>
  <si>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</si>
  <si>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</si>
  <si>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</si>
  <si>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</si>
  <si>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</si>
  <si>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</si>
  <si>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</si>
  <si>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</si>
  <si>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</si>
  <si>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</si>
  <si>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</si>
  <si>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</si>
  <si>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</si>
  <si>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</si>
  <si>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</si>
  <si>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</si>
  <si>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</si>
  <si>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</si>
  <si>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</si>
  <si>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</si>
  <si>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</si>
  <si>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</si>
  <si>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</si>
  <si>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</si>
  <si>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</si>
  <si>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</si>
  <si>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</si>
  <si>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</si>
  <si>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</si>
  <si>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</si>
  <si>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</si>
  <si>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</si>
  <si>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</si>
  <si>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</si>
  <si>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</si>
  <si>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</si>
  <si>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</si>
  <si>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</si>
  <si>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</si>
  <si>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</si>
  <si>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</si>
  <si>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</si>
  <si>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</si>
  <si>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</si>
  <si>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</si>
  <si>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</si>
  <si>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</si>
  <si>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</si>
  <si>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</si>
  <si>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</si>
  <si>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</si>
  <si>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</si>
  <si>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</si>
  <si>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</si>
  <si>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</si>
  <si>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</si>
  <si>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</si>
  <si>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</si>
  <si>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</si>
  <si>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</si>
  <si>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</si>
  <si>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</si>
  <si>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</si>
  <si>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</si>
  <si>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</si>
  <si>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</si>
  <si>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</si>
  <si>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</si>
  <si>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</si>
  <si>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</si>
  <si>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</si>
  <si>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</si>
  <si>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</si>
  <si>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</si>
  <si>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</si>
  <si>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</si>
  <si>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</si>
  <si>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</si>
  <si>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</si>
  <si>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</si>
  <si>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</si>
  <si>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</si>
  <si>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</si>
  <si>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</si>
  <si>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</si>
  <si>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</si>
  <si>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</si>
  <si>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</si>
  <si>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</si>
  <si>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</si>
  <si>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</si>
  <si>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</si>
  <si>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</si>
  <si>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</si>
  <si>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</si>
  <si>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מבנה 1 - בית מגורים ראשון</t>
  </si>
  <si>
    <t>מבנה 2 - בית מגורים שני</t>
  </si>
  <si>
    <t>מבנה 3 - מחסן חקלאי</t>
  </si>
  <si>
    <t>מבנה 4 - סככות חקלאיות</t>
  </si>
  <si>
    <t>מבנה 6- סככה</t>
  </si>
  <si>
    <t>מבנים 5,7,8,9</t>
  </si>
  <si>
    <t>424-0985960</t>
  </si>
  <si>
    <t>תגפ/439</t>
  </si>
  <si>
    <t>גז/439/ג</t>
  </si>
  <si>
    <t>רמ"י</t>
  </si>
  <si>
    <t>עליית גג+ מרתף + מבני עזר 45</t>
  </si>
  <si>
    <t>150+25</t>
  </si>
  <si>
    <t>דף מידע לא חתום</t>
  </si>
  <si>
    <t>גז/439/א</t>
  </si>
  <si>
    <t>אתר וועדה</t>
  </si>
  <si>
    <t>גז/1000</t>
  </si>
  <si>
    <t>מבנה 1.2משרד חקלאי</t>
  </si>
  <si>
    <t>מבנה 1.3 - בריכה</t>
  </si>
  <si>
    <t>מבנה 1.1 - משרד</t>
  </si>
  <si>
    <t>מערכת מידע נדלן</t>
  </si>
  <si>
    <r>
      <t>סוג נכס:</t>
    </r>
    <r>
      <rPr>
        <sz val="10"/>
        <color theme="1"/>
        <rFont val="Arial"/>
        <family val="2"/>
        <scheme val="minor"/>
      </rPr>
      <t xml:space="preserve"> כללי     </t>
    </r>
    <r>
      <rPr>
        <b/>
        <sz val="10"/>
        <color theme="1"/>
        <rFont val="Arial"/>
        <family val="2"/>
        <scheme val="minor"/>
      </rPr>
      <t>מיום מכירה:</t>
    </r>
    <r>
      <rPr>
        <sz val="10"/>
        <color theme="1"/>
        <rFont val="Arial"/>
        <family val="2"/>
        <scheme val="minor"/>
      </rPr>
      <t xml:space="preserve"> 17/02/2022     </t>
    </r>
    <r>
      <rPr>
        <b/>
        <sz val="10"/>
        <color theme="1"/>
        <rFont val="Arial"/>
        <family val="2"/>
        <scheme val="minor"/>
      </rPr>
      <t>עד יום מכירה:</t>
    </r>
    <r>
      <rPr>
        <sz val="10"/>
        <color theme="1"/>
        <rFont val="Arial"/>
        <family val="2"/>
        <scheme val="minor"/>
      </rPr>
      <t xml:space="preserve"> 17/02/2025     </t>
    </r>
  </si>
  <si>
    <r>
      <t xml:space="preserve">ישוב: </t>
    </r>
    <r>
      <rPr>
        <sz val="10"/>
        <color theme="1"/>
        <rFont val="Arial"/>
        <family val="2"/>
        <scheme val="minor"/>
      </rPr>
      <t>גמזו     </t>
    </r>
  </si>
  <si>
    <t>גוש חלקה</t>
  </si>
  <si>
    <t>יום מכירה</t>
  </si>
  <si>
    <t>תמורה מוצהרת בש"ח</t>
  </si>
  <si>
    <t>בניכוי יזמות 5%</t>
  </si>
  <si>
    <t>מהות</t>
  </si>
  <si>
    <t>ישוב</t>
  </si>
  <si>
    <t>שטח מגרש</t>
  </si>
  <si>
    <t>שטח</t>
  </si>
  <si>
    <t>תרומת הבנוי</t>
  </si>
  <si>
    <t>יתרת מגרש</t>
  </si>
  <si>
    <t>005970-0073</t>
  </si>
  <si>
    <t>קוטג' חד משפחתי</t>
  </si>
  <si>
    <t>גמזו</t>
  </si>
  <si>
    <t>ניתוח שטח אקו'</t>
  </si>
  <si>
    <t>עיקרי ק.ק</t>
  </si>
  <si>
    <t>ממד</t>
  </si>
  <si>
    <t>עיקרי ק.א</t>
  </si>
  <si>
    <t>שירות</t>
  </si>
  <si>
    <t>מרתף</t>
  </si>
  <si>
    <t>שווי מגרש</t>
  </si>
  <si>
    <t>שווי מ"ר</t>
  </si>
  <si>
    <t>הרחבה</t>
  </si>
  <si>
    <t>נחלה</t>
  </si>
  <si>
    <t>שווי מר מבונה שומה</t>
  </si>
  <si>
    <t>מקדם התאמה לזמן</t>
  </si>
  <si>
    <t>שווי מתואם</t>
  </si>
  <si>
    <t>מקדם להיקף עסקה</t>
  </si>
  <si>
    <t>לשומה</t>
  </si>
  <si>
    <t>מועד קובע 03/03/2024</t>
  </si>
  <si>
    <t>מרתפים</t>
  </si>
  <si>
    <t>שווי מ"ר מיגל - שומה</t>
  </si>
  <si>
    <t>שווי מ"ר מנתי של עסקה מספר 4596</t>
  </si>
  <si>
    <t>יתרת שירות</t>
  </si>
  <si>
    <t>מצב קודם</t>
  </si>
  <si>
    <t>מקדם השבחה</t>
  </si>
  <si>
    <t>סה"כ השבחה</t>
  </si>
  <si>
    <t>היטל בשח</t>
  </si>
  <si>
    <t>מקדם לפי מספר שנים לפי טבלה</t>
  </si>
  <si>
    <t>=</t>
  </si>
  <si>
    <t>תשלום למ"ר אקו'</t>
  </si>
  <si>
    <t>שנים 3</t>
  </si>
  <si>
    <t>משרד</t>
  </si>
  <si>
    <t>בית מגורים שני</t>
  </si>
  <si>
    <t>מגורי עובדים זרים</t>
  </si>
  <si>
    <t>חשיפה לדמי שימוש</t>
  </si>
  <si>
    <t>תשלום דמי היתר</t>
  </si>
  <si>
    <t>סיכום עלויות הסדרה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</si>
</sst>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b/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2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4" fillId="5" borderId="21" xfId="1" applyNumberFormat="1" applyFont="1" applyFill="1" applyBorder="1"/>
    <xf numFmtId="165" fontId="19" fillId="3" borderId="18" xfId="1" applyNumberFormat="1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19" fillId="3" borderId="17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center" vertical="center" wrapText="1"/>
    </xf>
    <xf numFmtId="43" fontId="4" fillId="0" borderId="0" xfId="0" applyNumberFormat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2" fillId="13" borderId="72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wrapText="1"/>
    </xf>
    <xf numFmtId="14" fontId="23" fillId="0" borderId="22" xfId="0" applyNumberFormat="1" applyFont="1" applyBorder="1" applyAlignment="1">
      <alignment horizontal="center" wrapText="1"/>
    </xf>
    <xf numFmtId="3" fontId="23" fillId="0" borderId="22" xfId="0" applyNumberFormat="1" applyFont="1" applyBorder="1" applyAlignment="1">
      <alignment horizontal="center" wrapText="1"/>
    </xf>
    <xf numFmtId="0" fontId="23" fillId="0" borderId="22" xfId="0" applyFont="1" applyBorder="1"/>
    <xf numFmtId="0" fontId="0" fillId="0" borderId="22" xfId="0" applyBorder="1"/>
    <xf numFmtId="3" fontId="0" fillId="0" borderId="22" xfId="0" applyNumberFormat="1" applyBorder="1"/>
    <xf numFmtId="165" fontId="6" fillId="0" borderId="22" xfId="1" applyNumberFormat="1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6" fillId="0" borderId="7" xfId="0" applyFont="1" applyBorder="1"/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11" borderId="48" xfId="0" applyFill="1" applyBorder="1"/>
    <xf numFmtId="0" fontId="0" fillId="11" borderId="19" xfId="0" applyFill="1" applyBorder="1"/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6" fillId="0" borderId="7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434856</xdr:colOff>
      <xdr:row>11</xdr:row>
      <xdr:rowOff>97042</xdr:rowOff>
    </xdr:from>
    <xdr:to>
      <xdr:col>10</xdr:col>
      <xdr:colOff>1998429</xdr:colOff>
      <xdr:row>29</xdr:row>
      <xdr:rowOff>130527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5ECC585-945F-E74B-2AF3-F1324563B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348595" y="2192542"/>
          <a:ext cx="4733824" cy="3123395"/>
        </a:xfrm>
        <a:prstGeom prst="rect">
          <a:avLst/>
        </a:prstGeom>
      </xdr:spPr>
    </xdr:pic>
    <xdr:clientData/>
  </xdr:twoCellAnchor>
  <xdr:twoCellAnchor editAs="oneCell">
    <xdr:from>
      <xdr:col>1</xdr:col>
      <xdr:colOff>209312</xdr:colOff>
      <xdr:row>11</xdr:row>
      <xdr:rowOff>89419</xdr:rowOff>
    </xdr:from>
    <xdr:to>
      <xdr:col>7</xdr:col>
      <xdr:colOff>364091</xdr:colOff>
      <xdr:row>28</xdr:row>
      <xdr:rowOff>16430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685BB694-33BE-731F-331E-6685918FE0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203"/>
        <a:stretch/>
      </xdr:blipFill>
      <xdr:spPr>
        <a:xfrm>
          <a:off x="10920149374" y="2184919"/>
          <a:ext cx="4702014" cy="2845471"/>
        </a:xfrm>
        <a:prstGeom prst="rect">
          <a:avLst/>
        </a:prstGeom>
      </xdr:spPr>
    </xdr:pic>
    <xdr:clientData/>
  </xdr:twoCellAnchor>
  <xdr:twoCellAnchor editAs="oneCell">
    <xdr:from>
      <xdr:col>6</xdr:col>
      <xdr:colOff>2871</xdr:colOff>
      <xdr:row>84</xdr:row>
      <xdr:rowOff>73535</xdr:rowOff>
    </xdr:from>
    <xdr:to>
      <xdr:col>10</xdr:col>
      <xdr:colOff>1506195</xdr:colOff>
      <xdr:row>105</xdr:row>
      <xdr:rowOff>15280</xdr:rowOff>
    </xdr:to>
    <xdr:pic>
      <xdr:nvPicPr>
        <xdr:cNvPr id="12" name="תמונה 4">
          <a:extLst>
            <a:ext uri="{FF2B5EF4-FFF2-40B4-BE49-F238E27FC236}">
              <a16:creationId xmlns:a16="http://schemas.microsoft.com/office/drawing/2014/main" id="{2A3E838A-4458-8CBC-0252-32A43BC5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3858869" y="16042405"/>
          <a:ext cx="5316499" cy="3529495"/>
        </a:xfrm>
        <a:prstGeom prst="rect">
          <a:avLst/>
        </a:prstGeom>
      </xdr:spPr>
    </xdr:pic>
    <xdr:clientData/>
  </xdr:twoCellAnchor>
  <xdr:twoCellAnchor editAs="oneCell">
    <xdr:from>
      <xdr:col>2</xdr:col>
      <xdr:colOff>168875</xdr:colOff>
      <xdr:row>32</xdr:row>
      <xdr:rowOff>13138</xdr:rowOff>
    </xdr:from>
    <xdr:to>
      <xdr:col>7</xdr:col>
      <xdr:colOff>510927</xdr:colOff>
      <xdr:row>35</xdr:row>
      <xdr:rowOff>59713</xdr:rowOff>
    </xdr:to>
    <xdr:pic>
      <xdr:nvPicPr>
        <xdr:cNvPr id="9" name="תמונה 8">
          <a:extLst>
            <a:ext uri="{FF2B5EF4-FFF2-40B4-BE49-F238E27FC236}">
              <a16:creationId xmlns:a16="http://schemas.microsoft.com/office/drawing/2014/main" id="{F539A13B-B34B-489A-BB7D-C9B73630E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3800986" y="5688724"/>
          <a:ext cx="3927656" cy="566575"/>
        </a:xfrm>
        <a:prstGeom prst="rect">
          <a:avLst/>
        </a:prstGeom>
      </xdr:spPr>
    </xdr:pic>
    <xdr:clientData/>
  </xdr:twoCellAnchor>
  <xdr:twoCellAnchor editAs="oneCell">
    <xdr:from>
      <xdr:col>1</xdr:col>
      <xdr:colOff>19707</xdr:colOff>
      <xdr:row>36</xdr:row>
      <xdr:rowOff>34586</xdr:rowOff>
    </xdr:from>
    <xdr:to>
      <xdr:col>8</xdr:col>
      <xdr:colOff>663158</xdr:colOff>
      <xdr:row>72</xdr:row>
      <xdr:rowOff>113512</xdr:rowOff>
    </xdr:to>
    <xdr:pic>
      <xdr:nvPicPr>
        <xdr:cNvPr id="10" name="תמונה 9">
          <a:extLst>
            <a:ext uri="{FF2B5EF4-FFF2-40B4-BE49-F238E27FC236}">
              <a16:creationId xmlns:a16="http://schemas.microsoft.com/office/drawing/2014/main" id="{BEE5446C-B70E-4A38-9AA3-40891B9CAEB1}"/>
            </a:ext>
            <a:ext uri="{147F2762-F138-4A5C-976F-8EAC2B608ADB}">
              <a16:predDERef xmlns:a16="http://schemas.microsoft.com/office/drawing/2014/main" pred="{F539A13B-B34B-489A-BB7D-C9B73630E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91453418" y="6460510"/>
          <a:ext cx="6427473" cy="6318491"/>
        </a:xfrm>
        <a:prstGeom prst="rect">
          <a:avLst/>
        </a:prstGeom>
      </xdr:spPr>
    </xdr:pic>
    <xdr:clientData/>
  </xdr:twoCellAnchor>
  <xdr:twoCellAnchor>
    <xdr:from>
      <xdr:col>2</xdr:col>
      <xdr:colOff>6950</xdr:colOff>
      <xdr:row>70</xdr:row>
      <xdr:rowOff>129540</xdr:rowOff>
    </xdr:from>
    <xdr:to>
      <xdr:col>7</xdr:col>
      <xdr:colOff>504238</xdr:colOff>
      <xdr:row>72</xdr:row>
      <xdr:rowOff>66633</xdr:rowOff>
    </xdr:to>
    <xdr:sp macro="" textlink="">
      <xdr:nvSpPr>
        <xdr:cNvPr id="11" name="מלבן 10">
          <a:extLst>
            <a:ext uri="{FF2B5EF4-FFF2-40B4-BE49-F238E27FC236}">
              <a16:creationId xmlns:a16="http://schemas.microsoft.com/office/drawing/2014/main" id="{3CE4EE2B-646A-4A46-96BA-8561D8961488}"/>
            </a:ext>
          </a:extLst>
        </xdr:cNvPr>
        <xdr:cNvSpPr/>
      </xdr:nvSpPr>
      <xdr:spPr>
        <a:xfrm>
          <a:off x="10973800055" y="12295264"/>
          <a:ext cx="4090512" cy="2786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16" sqref="H16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19921875" style="1" bestFit="1" customWidth="1"/>
    <col min="8" max="8" width="23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43</v>
      </c>
      <c r="B2" s="76">
        <f>'מ"ר אקו'' נחלה'!I14</f>
        <v>1230</v>
      </c>
      <c r="K2" s="1"/>
    </row>
    <row r="3" spans="1:11" x14ac:dyDescent="0.35">
      <c r="A3" s="1" t="s">
        <v>17</v>
      </c>
      <c r="B3" s="76">
        <f>'מ"ר אקו'' נחלה'!D14</f>
        <v>1180</v>
      </c>
      <c r="K3" s="1"/>
    </row>
    <row r="4" spans="1:11" x14ac:dyDescent="0.35">
      <c r="A4" s="1" t="s">
        <v>90</v>
      </c>
      <c r="B4" s="76">
        <f>'מ"ר אקו'' נחלה'!D28</f>
        <v>0</v>
      </c>
      <c r="K4" s="1"/>
    </row>
    <row r="5" spans="1:11" x14ac:dyDescent="0.35">
      <c r="A5" s="1" t="s">
        <v>199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נחלה'!D80</f>
        <v>806.25</v>
      </c>
      <c r="F6" s="7"/>
      <c r="K6" s="1"/>
    </row>
    <row r="7" spans="1:11" x14ac:dyDescent="0.35">
      <c r="A7" s="1" t="s">
        <v>55</v>
      </c>
      <c r="B7" s="1">
        <f>'מ"ר אקו'' נחלה'!D57</f>
        <v>247.3</v>
      </c>
      <c r="C7" s="1" t="s">
        <v>56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10000</v>
      </c>
      <c r="C8" s="1" t="s">
        <v>83</v>
      </c>
      <c r="D8" s="5">
        <v>2500</v>
      </c>
      <c r="F8" s="75"/>
      <c r="K8" s="1"/>
    </row>
    <row r="9" spans="1:11" x14ac:dyDescent="0.35">
      <c r="A9" s="3"/>
      <c r="B9" s="5"/>
      <c r="C9" s="1" t="s">
        <v>91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65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302343.75</v>
      </c>
      <c r="G11" s="75">
        <f>'מ"ר אקו'' נחלה'!D81*-3.75%</f>
        <v>-6562.5</v>
      </c>
      <c r="H11" s="88">
        <f>SUM(F11:G11)</f>
        <v>295781.25</v>
      </c>
      <c r="I11" s="9"/>
      <c r="J11" s="75"/>
    </row>
    <row r="12" spans="1:11" x14ac:dyDescent="0.35">
      <c r="A12" s="82" t="s">
        <v>61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606937.5</v>
      </c>
      <c r="G12" s="75">
        <f>-'מ"ר אקו'' נחלה'!D58*C12</f>
        <v>-29250</v>
      </c>
      <c r="H12" s="6">
        <f>SUM(F12:G12)</f>
        <v>577687.5</v>
      </c>
      <c r="J12" s="87"/>
    </row>
    <row r="13" spans="1:11" x14ac:dyDescent="0.35">
      <c r="A13" s="82" t="s">
        <v>62</v>
      </c>
      <c r="B13" s="114">
        <f>B7-B12</f>
        <v>39.800000000000011</v>
      </c>
      <c r="C13" s="115">
        <v>0.33</v>
      </c>
      <c r="D13" s="82">
        <f t="shared" si="0"/>
        <v>13.134000000000004</v>
      </c>
      <c r="E13" s="82">
        <v>1</v>
      </c>
      <c r="F13" s="84">
        <f>D13*$B$8*E13</f>
        <v>131340.00000000003</v>
      </c>
      <c r="G13" s="87">
        <f>G12*53/245</f>
        <v>-6327.5510204081629</v>
      </c>
      <c r="H13" s="6">
        <f>SUM(F13:G13)</f>
        <v>125012.44897959186</v>
      </c>
      <c r="I13" s="9"/>
      <c r="J13" s="75"/>
    </row>
    <row r="14" spans="1:11" ht="21" x14ac:dyDescent="0.4">
      <c r="A14" s="111" t="s">
        <v>63</v>
      </c>
      <c r="B14" s="112">
        <f>SUM(B12:B13)</f>
        <v>247.3</v>
      </c>
      <c r="C14" s="113"/>
      <c r="D14" s="113"/>
      <c r="E14" s="113"/>
      <c r="F14" s="113">
        <f>SUM(F12:F13)</f>
        <v>738277.5</v>
      </c>
      <c r="G14" s="116"/>
      <c r="H14" s="89">
        <f>SUM(H12:H13)</f>
        <v>702699.94897959183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881875</v>
      </c>
      <c r="G15" s="9"/>
      <c r="J15" s="86"/>
    </row>
    <row r="16" spans="1:11" ht="21" x14ac:dyDescent="0.4">
      <c r="A16" s="77" t="s">
        <v>5</v>
      </c>
      <c r="B16" s="81">
        <f>B3+B4-B5</f>
        <v>1180</v>
      </c>
      <c r="C16" s="80">
        <v>0.33</v>
      </c>
      <c r="D16" s="77">
        <f t="shared" si="0"/>
        <v>389.40000000000003</v>
      </c>
      <c r="E16" s="77">
        <v>1</v>
      </c>
      <c r="F16" s="79">
        <f>D16*$B$8*E16</f>
        <v>3894000.0000000005</v>
      </c>
      <c r="G16" s="75">
        <f>-'מ"ר אקו'' נחלה'!D15*C16</f>
        <v>-81510</v>
      </c>
      <c r="H16" s="88">
        <f>SUM(F16:G16)</f>
        <v>3812490.0000000005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6370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682.5</v>
      </c>
      <c r="G20" s="9"/>
      <c r="I20" s="6"/>
      <c r="J20" s="9"/>
    </row>
    <row r="21" spans="1:10" ht="21" x14ac:dyDescent="0.4">
      <c r="A21" s="1" t="s">
        <v>69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44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2730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45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500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46</v>
      </c>
      <c r="B27" s="85"/>
      <c r="C27" s="8"/>
      <c r="D27" s="186"/>
      <c r="E27" s="186"/>
      <c r="F27" s="5"/>
      <c r="I27" s="75"/>
    </row>
    <row r="29" spans="1:10" x14ac:dyDescent="0.35">
      <c r="A29" s="2" t="s">
        <v>155</v>
      </c>
      <c r="C29" s="75"/>
    </row>
    <row r="30" spans="1:10" x14ac:dyDescent="0.35">
      <c r="A30" s="2"/>
      <c r="B30" s="2" t="s">
        <v>157</v>
      </c>
      <c r="C30" s="2" t="s">
        <v>21</v>
      </c>
      <c r="D30" s="2" t="s">
        <v>156</v>
      </c>
    </row>
    <row r="31" spans="1:10" x14ac:dyDescent="0.35">
      <c r="A31" s="1" t="s">
        <v>153</v>
      </c>
      <c r="B31" s="5">
        <f>'מ"ר אקו'' נחלה'!D57*'תחשיב לפי שווי שומה (2)'!$B$8</f>
        <v>2473000</v>
      </c>
      <c r="C31" s="191">
        <v>1</v>
      </c>
      <c r="D31" s="6">
        <f>C31*$B$8</f>
        <v>10000</v>
      </c>
    </row>
    <row r="32" spans="1:10" x14ac:dyDescent="0.35">
      <c r="A32" s="1" t="s">
        <v>152</v>
      </c>
      <c r="B32" s="6">
        <f>350*$B$8*C32</f>
        <v>525000</v>
      </c>
      <c r="C32" s="191">
        <v>0.15</v>
      </c>
      <c r="D32" s="6">
        <f>C32*$B$8</f>
        <v>1500</v>
      </c>
    </row>
    <row r="33" spans="1:6" x14ac:dyDescent="0.35">
      <c r="C33" s="75"/>
    </row>
    <row r="34" spans="1:6" x14ac:dyDescent="0.35">
      <c r="A34" s="1" t="s">
        <v>150</v>
      </c>
      <c r="B34" s="6">
        <f>B31-B32</f>
        <v>1948000</v>
      </c>
      <c r="C34" s="191">
        <f>C31-C32</f>
        <v>0.85</v>
      </c>
      <c r="D34" s="6">
        <f>C34*$B$8</f>
        <v>8500</v>
      </c>
    </row>
    <row r="35" spans="1:6" x14ac:dyDescent="0.35">
      <c r="A35" s="1" t="s">
        <v>151</v>
      </c>
      <c r="B35" s="6">
        <f>B34*50%</f>
        <v>974000</v>
      </c>
      <c r="C35" s="191">
        <f>C34*50%</f>
        <v>0.42499999999999999</v>
      </c>
      <c r="D35" s="6">
        <f>C35*$B$8</f>
        <v>4250</v>
      </c>
    </row>
    <row r="37" spans="1:6" x14ac:dyDescent="0.35">
      <c r="A37" s="2" t="s">
        <v>158</v>
      </c>
      <c r="C37" s="75"/>
    </row>
    <row r="38" spans="1:6" x14ac:dyDescent="0.35">
      <c r="A38" s="2"/>
      <c r="B38" s="2" t="s">
        <v>157</v>
      </c>
      <c r="C38" s="2" t="s">
        <v>21</v>
      </c>
      <c r="D38" s="2" t="s">
        <v>156</v>
      </c>
    </row>
    <row r="39" spans="1:6" x14ac:dyDescent="0.35">
      <c r="A39" s="1" t="s">
        <v>153</v>
      </c>
      <c r="B39" s="5">
        <f>'מ"ר אקו'' נחלה'!D57*'תחשיב לפי שווי שומה (2)'!$B$8</f>
        <v>2473000</v>
      </c>
      <c r="C39" s="191">
        <v>1</v>
      </c>
      <c r="D39" s="6">
        <f>C39*$B$8</f>
        <v>10000</v>
      </c>
    </row>
    <row r="40" spans="1:6" x14ac:dyDescent="0.35">
      <c r="A40" s="1" t="s">
        <v>159</v>
      </c>
      <c r="B40" s="6">
        <f>B39*70%</f>
        <v>1731100</v>
      </c>
      <c r="C40" s="191">
        <v>0.7</v>
      </c>
      <c r="D40" s="6">
        <f>C40*$B$8</f>
        <v>7000</v>
      </c>
    </row>
    <row r="41" spans="1:6" x14ac:dyDescent="0.35">
      <c r="C41" s="75"/>
    </row>
    <row r="42" spans="1:6" x14ac:dyDescent="0.35">
      <c r="A42" s="1" t="s">
        <v>150</v>
      </c>
      <c r="B42" s="6">
        <f>B39-B40</f>
        <v>741900</v>
      </c>
      <c r="C42" s="191">
        <f>C39-C40</f>
        <v>0.30000000000000004</v>
      </c>
      <c r="D42" s="6">
        <f>C42*$B$8</f>
        <v>3000.0000000000005</v>
      </c>
      <c r="F42" s="6"/>
    </row>
    <row r="43" spans="1:6" x14ac:dyDescent="0.35">
      <c r="A43" s="1" t="s">
        <v>151</v>
      </c>
      <c r="B43" s="6">
        <f>B42*50%</f>
        <v>370950</v>
      </c>
      <c r="C43" s="191">
        <f>C42*50%</f>
        <v>0.15000000000000002</v>
      </c>
      <c r="D43" s="6">
        <f>C43*$B$8</f>
        <v>1500.0000000000002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W40"/>
  <sheetViews>
    <sheetView rightToLeft="1" tabSelected="1" topLeftCell="A13" workbookViewId="0">
      <selection activeCell="H26" sqref="H26:K40"/>
    </sheetView>
  </sheetViews>
  <sheetFormatPr defaultRowHeight="13.8" x14ac:dyDescent="0.25"/>
  <cols>
    <col min="9" max="9" width="12.09765625" customWidth="1"/>
    <col min="17" max="17" width="10.5" bestFit="1" customWidth="1"/>
  </cols>
  <sheetData>
    <row r="8" spans="8:15" ht="14.4" thickBot="1" x14ac:dyDescent="0.3"/>
    <row r="9" spans="8:15" ht="14.4" thickBot="1" x14ac:dyDescent="0.3">
      <c r="H9" s="274" t="s">
        <v>282</v>
      </c>
      <c r="I9" s="275"/>
      <c r="J9" s="275"/>
      <c r="K9" s="275"/>
      <c r="L9" s="275"/>
      <c r="M9" s="275"/>
      <c r="N9" s="275"/>
      <c r="O9" s="276"/>
    </row>
    <row r="10" spans="8:15" x14ac:dyDescent="0.25">
      <c r="H10" s="260" t="s">
        <v>207</v>
      </c>
      <c r="I10" s="261"/>
      <c r="J10" s="260" t="s">
        <v>277</v>
      </c>
      <c r="K10" s="261"/>
      <c r="L10" s="270" t="s">
        <v>278</v>
      </c>
      <c r="M10" s="271"/>
      <c r="N10" s="260" t="s">
        <v>279</v>
      </c>
      <c r="O10" s="261"/>
    </row>
    <row r="11" spans="8:15" ht="14.4" thickBot="1" x14ac:dyDescent="0.3">
      <c r="H11" s="262"/>
      <c r="I11" s="263"/>
      <c r="J11" s="262"/>
      <c r="K11" s="263"/>
      <c r="L11" s="272"/>
      <c r="M11" s="273"/>
      <c r="N11" s="262"/>
      <c r="O11" s="263"/>
    </row>
    <row r="12" spans="8:15" x14ac:dyDescent="0.25">
      <c r="H12" s="264" t="s">
        <v>280</v>
      </c>
      <c r="I12" s="265"/>
      <c r="J12" s="266">
        <v>80000</v>
      </c>
      <c r="K12" s="266"/>
      <c r="L12" s="266">
        <v>200000</v>
      </c>
      <c r="M12" s="266"/>
      <c r="N12" s="266">
        <v>215000</v>
      </c>
      <c r="O12" s="267"/>
    </row>
    <row r="13" spans="8:15" x14ac:dyDescent="0.25">
      <c r="H13" s="252"/>
      <c r="I13" s="253"/>
      <c r="J13" s="268"/>
      <c r="K13" s="268"/>
      <c r="L13" s="268"/>
      <c r="M13" s="268"/>
      <c r="N13" s="268"/>
      <c r="O13" s="269"/>
    </row>
    <row r="14" spans="8:15" x14ac:dyDescent="0.25">
      <c r="H14" s="252" t="s">
        <v>281</v>
      </c>
      <c r="I14" s="253"/>
      <c r="J14" s="256">
        <v>225000</v>
      </c>
      <c r="K14" s="256"/>
      <c r="L14" s="256">
        <v>216000</v>
      </c>
      <c r="M14" s="256"/>
      <c r="N14" s="256">
        <v>25000</v>
      </c>
      <c r="O14" s="259"/>
    </row>
    <row r="15" spans="8:15" x14ac:dyDescent="0.25">
      <c r="H15" s="252"/>
      <c r="I15" s="253"/>
      <c r="J15" s="256"/>
      <c r="K15" s="256"/>
      <c r="L15" s="256"/>
      <c r="M15" s="256"/>
      <c r="N15" s="256"/>
      <c r="O15" s="259"/>
    </row>
    <row r="16" spans="8:15" x14ac:dyDescent="0.25">
      <c r="H16" s="252" t="s">
        <v>210</v>
      </c>
      <c r="I16" s="253"/>
      <c r="J16" s="256">
        <f>J14*0.06</f>
        <v>13500</v>
      </c>
      <c r="K16" s="256"/>
      <c r="L16" s="256" t="s">
        <v>209</v>
      </c>
      <c r="M16" s="256"/>
      <c r="N16" s="253" t="s">
        <v>209</v>
      </c>
      <c r="O16" s="257"/>
    </row>
    <row r="17" spans="8:23" x14ac:dyDescent="0.25">
      <c r="H17" s="252"/>
      <c r="I17" s="253"/>
      <c r="J17" s="256"/>
      <c r="K17" s="256"/>
      <c r="L17" s="256"/>
      <c r="M17" s="256"/>
      <c r="N17" s="253"/>
      <c r="O17" s="257"/>
    </row>
    <row r="18" spans="8:23" x14ac:dyDescent="0.25">
      <c r="H18" s="248" t="s">
        <v>8</v>
      </c>
      <c r="I18" s="249"/>
      <c r="J18" s="250">
        <f>SUM(J12:K17)</f>
        <v>318500</v>
      </c>
      <c r="K18" s="249"/>
      <c r="L18" s="250">
        <f>SUM(L12:M17)</f>
        <v>416000</v>
      </c>
      <c r="M18" s="249"/>
      <c r="N18" s="250">
        <f>SUM(N12:O17)</f>
        <v>240000</v>
      </c>
      <c r="O18" s="251"/>
    </row>
    <row r="19" spans="8:23" ht="14.4" thickBot="1" x14ac:dyDescent="0.3">
      <c r="H19" s="277"/>
      <c r="I19" s="278"/>
      <c r="J19" s="278"/>
      <c r="K19" s="278"/>
      <c r="L19" s="278"/>
      <c r="M19" s="278"/>
      <c r="N19" s="278"/>
      <c r="O19" s="279"/>
    </row>
    <row r="22" spans="8:23" ht="14.4" thickBot="1" x14ac:dyDescent="0.3"/>
    <row r="23" spans="8:23" ht="14.4" thickBot="1" x14ac:dyDescent="0.3">
      <c r="Q23" s="150">
        <f>N18+L18+J18</f>
        <v>974500</v>
      </c>
      <c r="T23" s="246"/>
      <c r="U23" s="246"/>
      <c r="V23" s="246"/>
      <c r="W23" s="247"/>
    </row>
    <row r="24" spans="8:23" x14ac:dyDescent="0.25">
      <c r="T24" s="270" t="s">
        <v>278</v>
      </c>
      <c r="U24" s="271"/>
      <c r="V24" s="260" t="s">
        <v>279</v>
      </c>
      <c r="W24" s="261"/>
    </row>
    <row r="25" spans="8:23" ht="14.4" thickBot="1" x14ac:dyDescent="0.3">
      <c r="T25" s="272"/>
      <c r="U25" s="273"/>
      <c r="V25" s="262"/>
      <c r="W25" s="263"/>
    </row>
    <row r="26" spans="8:23" ht="14.4" thickBot="1" x14ac:dyDescent="0.3">
      <c r="H26" s="274" t="s">
        <v>206</v>
      </c>
      <c r="I26" s="275"/>
      <c r="J26" s="275"/>
      <c r="K26" s="276"/>
      <c r="T26" s="266">
        <f>240000</f>
        <v>240000</v>
      </c>
      <c r="U26" s="266"/>
      <c r="V26" s="266">
        <v>2700000</v>
      </c>
      <c r="W26" s="267"/>
    </row>
    <row r="27" spans="8:23" x14ac:dyDescent="0.25">
      <c r="H27" s="260" t="s">
        <v>207</v>
      </c>
      <c r="I27" s="261"/>
      <c r="J27" s="260" t="s">
        <v>277</v>
      </c>
      <c r="K27" s="261"/>
      <c r="T27" s="268"/>
      <c r="U27" s="268"/>
      <c r="V27" s="268"/>
      <c r="W27" s="269"/>
    </row>
    <row r="28" spans="8:23" ht="14.4" thickBot="1" x14ac:dyDescent="0.3">
      <c r="H28" s="262"/>
      <c r="I28" s="263"/>
      <c r="J28" s="262"/>
      <c r="K28" s="263"/>
      <c r="T28" s="268">
        <v>1730000</v>
      </c>
      <c r="U28" s="268"/>
      <c r="V28" s="253" t="s">
        <v>209</v>
      </c>
      <c r="W28" s="257"/>
    </row>
    <row r="29" spans="8:23" x14ac:dyDescent="0.25">
      <c r="H29" s="264" t="s">
        <v>16</v>
      </c>
      <c r="I29" s="265"/>
      <c r="J29" s="266">
        <v>300000</v>
      </c>
      <c r="K29" s="267"/>
      <c r="T29" s="268"/>
      <c r="U29" s="268"/>
      <c r="V29" s="253"/>
      <c r="W29" s="257"/>
    </row>
    <row r="30" spans="8:23" x14ac:dyDescent="0.25">
      <c r="H30" s="252"/>
      <c r="I30" s="253"/>
      <c r="J30" s="268"/>
      <c r="K30" s="269"/>
      <c r="T30" s="256">
        <f>(T28+T26)*0.06</f>
        <v>118200</v>
      </c>
      <c r="U30" s="256"/>
      <c r="V30" s="256">
        <f>V26*0.06</f>
        <v>162000</v>
      </c>
      <c r="W30" s="259"/>
    </row>
    <row r="31" spans="8:23" x14ac:dyDescent="0.25">
      <c r="H31" s="252" t="s">
        <v>208</v>
      </c>
      <c r="I31" s="253"/>
      <c r="J31" s="268">
        <v>750000</v>
      </c>
      <c r="K31" s="269"/>
      <c r="T31" s="256"/>
      <c r="U31" s="256"/>
      <c r="V31" s="256"/>
      <c r="W31" s="259"/>
    </row>
    <row r="32" spans="8:23" x14ac:dyDescent="0.25">
      <c r="H32" s="252"/>
      <c r="I32" s="253"/>
      <c r="J32" s="268"/>
      <c r="K32" s="269"/>
      <c r="T32" s="256">
        <v>144000</v>
      </c>
      <c r="U32" s="256"/>
      <c r="V32" s="253" t="s">
        <v>209</v>
      </c>
      <c r="W32" s="257"/>
    </row>
    <row r="33" spans="8:23" x14ac:dyDescent="0.25">
      <c r="H33" s="252" t="s">
        <v>210</v>
      </c>
      <c r="I33" s="253"/>
      <c r="J33" s="256">
        <f>(J31+J29)*0.06</f>
        <v>63000</v>
      </c>
      <c r="K33" s="259"/>
      <c r="T33" s="256"/>
      <c r="U33" s="256"/>
      <c r="V33" s="253"/>
      <c r="W33" s="257"/>
    </row>
    <row r="34" spans="8:23" x14ac:dyDescent="0.25">
      <c r="H34" s="252"/>
      <c r="I34" s="253"/>
      <c r="J34" s="256"/>
      <c r="K34" s="259"/>
      <c r="T34" s="250">
        <f>SUM(T26:U33)</f>
        <v>2232200</v>
      </c>
      <c r="U34" s="249"/>
      <c r="V34" s="250">
        <f>SUM(V26:W33)</f>
        <v>2862000</v>
      </c>
      <c r="W34" s="251"/>
    </row>
    <row r="35" spans="8:23" x14ac:dyDescent="0.25">
      <c r="H35" s="252" t="s">
        <v>211</v>
      </c>
      <c r="I35" s="253"/>
      <c r="J35" s="253" t="s">
        <v>209</v>
      </c>
      <c r="K35" s="257"/>
      <c r="T35" s="249"/>
      <c r="U35" s="249"/>
      <c r="V35" s="249"/>
      <c r="W35" s="251"/>
    </row>
    <row r="36" spans="8:23" x14ac:dyDescent="0.25">
      <c r="H36" s="252"/>
      <c r="I36" s="253"/>
      <c r="J36" s="253"/>
      <c r="K36" s="257"/>
      <c r="T36" s="256">
        <v>1500000</v>
      </c>
      <c r="U36" s="253"/>
      <c r="V36" s="253" t="s">
        <v>213</v>
      </c>
      <c r="W36" s="257"/>
    </row>
    <row r="37" spans="8:23" ht="14.4" thickBot="1" x14ac:dyDescent="0.3">
      <c r="H37" s="248" t="s">
        <v>8</v>
      </c>
      <c r="I37" s="249"/>
      <c r="J37" s="250">
        <f>SUM(J29:K36)</f>
        <v>1113000</v>
      </c>
      <c r="K37" s="251"/>
      <c r="T37" s="255"/>
      <c r="U37" s="255"/>
      <c r="V37" s="255"/>
      <c r="W37" s="258"/>
    </row>
    <row r="38" spans="8:23" x14ac:dyDescent="0.25">
      <c r="H38" s="248"/>
      <c r="I38" s="249"/>
      <c r="J38" s="249"/>
      <c r="K38" s="251"/>
    </row>
    <row r="39" spans="8:23" x14ac:dyDescent="0.25">
      <c r="H39" s="252" t="s">
        <v>212</v>
      </c>
      <c r="I39" s="253"/>
      <c r="J39" s="256">
        <v>370000</v>
      </c>
      <c r="K39" s="257"/>
    </row>
    <row r="40" spans="8:23" ht="14.4" thickBot="1" x14ac:dyDescent="0.3">
      <c r="H40" s="254"/>
      <c r="I40" s="255"/>
      <c r="J40" s="255"/>
      <c r="K40" s="258"/>
    </row>
  </sheetData>
  <mergeCells count="50"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2:I13"/>
    <mergeCell ref="J12:K13"/>
    <mergeCell ref="L12:M13"/>
    <mergeCell ref="N12:O13"/>
    <mergeCell ref="T24:U25"/>
    <mergeCell ref="V24:W25"/>
    <mergeCell ref="H26:K26"/>
    <mergeCell ref="H16:I17"/>
    <mergeCell ref="J16:K17"/>
    <mergeCell ref="L16:M17"/>
    <mergeCell ref="N16:O17"/>
    <mergeCell ref="H18:I19"/>
    <mergeCell ref="J18:K19"/>
    <mergeCell ref="L18:M19"/>
    <mergeCell ref="N18:O19"/>
    <mergeCell ref="T26:U27"/>
    <mergeCell ref="V26:W27"/>
    <mergeCell ref="V28:W29"/>
    <mergeCell ref="H27:I28"/>
    <mergeCell ref="J27:K28"/>
    <mergeCell ref="T30:U31"/>
    <mergeCell ref="V30:W31"/>
    <mergeCell ref="H29:I30"/>
    <mergeCell ref="J29:K30"/>
    <mergeCell ref="H31:I32"/>
    <mergeCell ref="J31:K32"/>
    <mergeCell ref="T28:U29"/>
    <mergeCell ref="H37:I38"/>
    <mergeCell ref="J37:K38"/>
    <mergeCell ref="T34:U35"/>
    <mergeCell ref="V34:W35"/>
    <mergeCell ref="H39:I40"/>
    <mergeCell ref="J39:K40"/>
    <mergeCell ref="T36:U37"/>
    <mergeCell ref="V36:W37"/>
    <mergeCell ref="H33:I34"/>
    <mergeCell ref="J33:K34"/>
    <mergeCell ref="H35:I36"/>
    <mergeCell ref="J35:K36"/>
    <mergeCell ref="T32:U33"/>
    <mergeCell ref="V32:W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90"/>
  <sheetViews>
    <sheetView rightToLeft="1" topLeftCell="A43" workbookViewId="0">
      <selection activeCell="J51" sqref="J51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0976562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128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53</v>
      </c>
      <c r="B4" s="19">
        <v>635</v>
      </c>
      <c r="C4" s="20">
        <v>1</v>
      </c>
      <c r="D4" s="21">
        <f>C4*B4</f>
        <v>635</v>
      </c>
      <c r="F4" s="18" t="str">
        <f t="shared" ref="F4:H7" si="0">A4</f>
        <v>עיקרי</v>
      </c>
      <c r="G4" s="19">
        <f t="shared" si="0"/>
        <v>635</v>
      </c>
      <c r="H4" s="20">
        <f t="shared" si="0"/>
        <v>1</v>
      </c>
      <c r="I4" s="21">
        <f>H4*G4</f>
        <v>635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95</v>
      </c>
      <c r="B6" s="19">
        <f>120-B5</f>
        <v>84</v>
      </c>
      <c r="C6" s="20">
        <v>0.4</v>
      </c>
      <c r="D6" s="21">
        <f>C6*B6</f>
        <v>33.6</v>
      </c>
      <c r="F6" s="18" t="str">
        <f t="shared" si="0"/>
        <v>יתרת ש"ש</v>
      </c>
      <c r="G6" s="19">
        <f t="shared" si="0"/>
        <v>84</v>
      </c>
      <c r="H6" s="20">
        <f t="shared" si="0"/>
        <v>0.4</v>
      </c>
      <c r="I6" s="21">
        <f>H6*G6</f>
        <v>33.6</v>
      </c>
    </row>
    <row r="7" spans="1:10" x14ac:dyDescent="0.25">
      <c r="A7" s="18" t="s">
        <v>265</v>
      </c>
      <c r="B7" s="19">
        <v>200</v>
      </c>
      <c r="C7" s="20">
        <v>0.4</v>
      </c>
      <c r="D7" s="21">
        <f>C7*B7</f>
        <v>80</v>
      </c>
      <c r="F7" s="18" t="str">
        <f t="shared" si="0"/>
        <v>מרתפים</v>
      </c>
      <c r="G7" s="19">
        <f t="shared" si="0"/>
        <v>200</v>
      </c>
      <c r="H7" s="20">
        <f t="shared" si="0"/>
        <v>0.4</v>
      </c>
      <c r="I7" s="21">
        <f>H7*G7</f>
        <v>80</v>
      </c>
    </row>
    <row r="8" spans="1:10" x14ac:dyDescent="0.25">
      <c r="A8" s="22" t="s">
        <v>25</v>
      </c>
      <c r="B8" s="23">
        <f>SUM(B4:B6)</f>
        <v>755</v>
      </c>
      <c r="C8" s="24"/>
      <c r="D8" s="25"/>
      <c r="E8" s="91"/>
      <c r="F8" s="22" t="s">
        <v>25</v>
      </c>
      <c r="G8" s="23">
        <f>SUM(G4:G7)</f>
        <v>955</v>
      </c>
      <c r="H8" s="24"/>
      <c r="I8" s="25"/>
    </row>
    <row r="9" spans="1:10" x14ac:dyDescent="0.25">
      <c r="A9" s="26" t="s">
        <v>26</v>
      </c>
      <c r="B9" s="27">
        <f>B2-B8</f>
        <v>1745</v>
      </c>
      <c r="C9" s="28"/>
      <c r="D9" s="29"/>
      <c r="F9" s="26" t="s">
        <v>26</v>
      </c>
      <c r="G9" s="27">
        <f>G2-G8</f>
        <v>2045</v>
      </c>
      <c r="H9" s="28"/>
      <c r="I9" s="29"/>
    </row>
    <row r="10" spans="1:10" x14ac:dyDescent="0.25">
      <c r="A10" s="22" t="s">
        <v>27</v>
      </c>
      <c r="B10" s="23">
        <v>1000</v>
      </c>
      <c r="C10" s="24">
        <v>0.25</v>
      </c>
      <c r="D10" s="25">
        <f>C10*B10</f>
        <v>250</v>
      </c>
      <c r="F10" s="22" t="s">
        <v>27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28</v>
      </c>
      <c r="B11" s="19">
        <f>B9-B10</f>
        <v>745</v>
      </c>
      <c r="C11" s="20">
        <v>0.2</v>
      </c>
      <c r="D11" s="21">
        <f>C11*B11</f>
        <v>149</v>
      </c>
      <c r="F11" s="18" t="s">
        <v>28</v>
      </c>
      <c r="G11" s="19">
        <f>B11</f>
        <v>745</v>
      </c>
      <c r="H11" s="20">
        <v>0.2</v>
      </c>
      <c r="I11" s="21">
        <f>H11*G11</f>
        <v>149</v>
      </c>
    </row>
    <row r="12" spans="1:10" x14ac:dyDescent="0.25">
      <c r="A12" s="18"/>
      <c r="B12" s="19"/>
      <c r="C12" s="20"/>
      <c r="D12" s="21"/>
      <c r="F12" s="18" t="s">
        <v>70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29</v>
      </c>
      <c r="B13" s="31">
        <f>SUM(B4:B11)</f>
        <v>5200</v>
      </c>
      <c r="C13" s="32"/>
      <c r="D13" s="33">
        <f>SUM(D4:D12)</f>
        <v>1180</v>
      </c>
      <c r="F13" s="30" t="s">
        <v>29</v>
      </c>
      <c r="G13" s="31">
        <f>SUM(G4:G11)</f>
        <v>5700</v>
      </c>
      <c r="H13" s="32"/>
      <c r="I13" s="33">
        <f>SUM(I4:I12)</f>
        <v>1230</v>
      </c>
      <c r="J13" s="74"/>
    </row>
    <row r="14" spans="1:10" ht="14.4" thickBot="1" x14ac:dyDescent="0.3">
      <c r="A14" s="34" t="s">
        <v>30</v>
      </c>
      <c r="B14" s="35"/>
      <c r="C14" s="36"/>
      <c r="D14" s="37">
        <f>D13</f>
        <v>1180</v>
      </c>
      <c r="E14" s="72"/>
      <c r="F14" s="34" t="s">
        <v>30</v>
      </c>
      <c r="G14" s="35"/>
      <c r="H14" s="36"/>
      <c r="I14" s="37">
        <f>I13</f>
        <v>1230</v>
      </c>
    </row>
    <row r="15" spans="1:10" x14ac:dyDescent="0.25">
      <c r="A15" t="s">
        <v>64</v>
      </c>
      <c r="D15" s="17">
        <v>247000</v>
      </c>
      <c r="F15" t="s">
        <v>64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67</v>
      </c>
      <c r="B17" s="11">
        <v>2500</v>
      </c>
      <c r="C17" s="12" t="s">
        <v>96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53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66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97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98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68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87</v>
      </c>
      <c r="B27" s="31"/>
      <c r="C27" s="32"/>
      <c r="D27" s="33"/>
      <c r="I27" s="17"/>
    </row>
    <row r="28" spans="1:9" ht="14.4" thickBot="1" x14ac:dyDescent="0.3">
      <c r="A28" s="34" t="s">
        <v>30</v>
      </c>
      <c r="B28" s="35"/>
      <c r="C28" s="36"/>
      <c r="D28" s="37">
        <v>0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280" t="s">
        <v>199</v>
      </c>
      <c r="B30" s="281"/>
      <c r="C30" s="281"/>
      <c r="D30" s="282"/>
      <c r="I30" s="17"/>
    </row>
    <row r="31" spans="1:9" x14ac:dyDescent="0.25">
      <c r="A31" s="214" t="s">
        <v>200</v>
      </c>
      <c r="B31" s="12"/>
      <c r="C31" s="12"/>
      <c r="D31" s="215">
        <v>186</v>
      </c>
      <c r="I31" s="17"/>
    </row>
    <row r="32" spans="1:9" x14ac:dyDescent="0.25">
      <c r="A32" s="18" t="s">
        <v>201</v>
      </c>
      <c r="D32" s="216">
        <v>160</v>
      </c>
      <c r="I32" s="17"/>
    </row>
    <row r="33" spans="1:11" ht="14.4" thickBot="1" x14ac:dyDescent="0.3">
      <c r="A33" s="101" t="s">
        <v>202</v>
      </c>
      <c r="B33" s="103"/>
      <c r="C33" s="103"/>
      <c r="D33" s="217">
        <f>D31-D32</f>
        <v>26</v>
      </c>
      <c r="I33" s="17"/>
    </row>
    <row r="34" spans="1:11" x14ac:dyDescent="0.25">
      <c r="A34" s="10" t="s">
        <v>203</v>
      </c>
      <c r="B34" s="12"/>
      <c r="C34" s="12"/>
      <c r="D34" s="215">
        <v>240</v>
      </c>
      <c r="I34" s="17"/>
    </row>
    <row r="35" spans="1:11" x14ac:dyDescent="0.25">
      <c r="A35" s="18" t="s">
        <v>201</v>
      </c>
      <c r="D35" s="216">
        <v>160</v>
      </c>
      <c r="I35" s="17"/>
    </row>
    <row r="36" spans="1:11" ht="14.4" thickBot="1" x14ac:dyDescent="0.3">
      <c r="A36" s="101" t="s">
        <v>202</v>
      </c>
      <c r="B36" s="103"/>
      <c r="C36" s="103"/>
      <c r="D36" s="217">
        <f>D34-D35</f>
        <v>80</v>
      </c>
      <c r="I36" s="17"/>
    </row>
    <row r="37" spans="1:11" ht="14.4" thickBot="1" x14ac:dyDescent="0.3">
      <c r="A37" s="18"/>
      <c r="D37" s="216"/>
      <c r="I37" s="17"/>
    </row>
    <row r="38" spans="1:11" ht="14.4" thickBot="1" x14ac:dyDescent="0.3">
      <c r="A38" s="218" t="s">
        <v>204</v>
      </c>
      <c r="B38" s="219"/>
      <c r="C38" s="219"/>
      <c r="D38" s="220">
        <v>0</v>
      </c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205</v>
      </c>
      <c r="D41" s="17">
        <f>D14+D28-D38</f>
        <v>1180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/>
    </row>
    <row r="47" spans="1:11" x14ac:dyDescent="0.25">
      <c r="A47" s="10" t="s">
        <v>49</v>
      </c>
      <c r="B47" s="99">
        <v>350</v>
      </c>
      <c r="C47" s="12" t="s">
        <v>72</v>
      </c>
      <c r="D47" s="13"/>
      <c r="F47" s="10" t="s">
        <v>57</v>
      </c>
      <c r="G47" s="12"/>
      <c r="H47" s="12"/>
      <c r="I47" s="13"/>
      <c r="J47" t="s">
        <v>60</v>
      </c>
    </row>
    <row r="48" spans="1:11" x14ac:dyDescent="0.25">
      <c r="A48" s="22" t="s">
        <v>50</v>
      </c>
      <c r="B48" s="40">
        <v>180</v>
      </c>
      <c r="C48" s="24">
        <v>1</v>
      </c>
      <c r="D48" s="25">
        <f t="shared" ref="D48:D53" si="1">B48*C48</f>
        <v>180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54</v>
      </c>
      <c r="B49" s="19">
        <v>0</v>
      </c>
      <c r="C49" s="20">
        <v>0.5</v>
      </c>
      <c r="D49" s="21">
        <f t="shared" si="1"/>
        <v>0</v>
      </c>
      <c r="F49" s="18" t="s">
        <v>51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58</v>
      </c>
      <c r="G50" s="108"/>
      <c r="H50" s="108"/>
      <c r="I50" s="109">
        <f>I48+I49</f>
        <v>207.5</v>
      </c>
      <c r="J50" s="17">
        <v>10000</v>
      </c>
      <c r="K50" s="17">
        <f>I50*J50</f>
        <v>2075000</v>
      </c>
      <c r="L50" s="110">
        <v>0.29249999999999998</v>
      </c>
      <c r="M50" s="91">
        <f>K50*L50</f>
        <v>606937.5</v>
      </c>
    </row>
    <row r="51" spans="1:13" ht="14.4" thickBot="1" x14ac:dyDescent="0.3">
      <c r="A51" s="18" t="s">
        <v>268</v>
      </c>
      <c r="B51" s="19">
        <f>60-B50</f>
        <v>48</v>
      </c>
      <c r="C51" s="20">
        <v>0.5</v>
      </c>
      <c r="D51" s="21">
        <f t="shared" si="1"/>
        <v>24</v>
      </c>
      <c r="F51" s="101" t="s">
        <v>59</v>
      </c>
      <c r="G51" s="103"/>
      <c r="H51" s="103"/>
      <c r="I51" s="104">
        <f>D57-I50</f>
        <v>39.800000000000011</v>
      </c>
      <c r="J51" s="17">
        <f>J50</f>
        <v>10000</v>
      </c>
      <c r="K51" s="17">
        <f>I51*J51</f>
        <v>398000.00000000012</v>
      </c>
      <c r="L51" s="110">
        <v>0.33</v>
      </c>
      <c r="M51" s="91">
        <f>K51*L51</f>
        <v>131340.00000000006</v>
      </c>
    </row>
    <row r="52" spans="1:13" x14ac:dyDescent="0.25">
      <c r="A52" s="18"/>
      <c r="B52" s="19"/>
      <c r="C52" s="20">
        <v>0.35</v>
      </c>
      <c r="D52" s="21">
        <f t="shared" si="1"/>
        <v>0</v>
      </c>
      <c r="M52" s="91">
        <f>SUM(M50:M51)</f>
        <v>738277.5</v>
      </c>
    </row>
    <row r="53" spans="1:13" x14ac:dyDescent="0.25">
      <c r="A53" s="100" t="s">
        <v>24</v>
      </c>
      <c r="B53" s="71"/>
      <c r="C53" s="28">
        <v>0.5</v>
      </c>
      <c r="D53" s="29">
        <f t="shared" si="1"/>
        <v>0</v>
      </c>
    </row>
    <row r="54" spans="1:13" x14ac:dyDescent="0.25">
      <c r="A54" s="22" t="s">
        <v>25</v>
      </c>
      <c r="B54" s="23">
        <f>SUM(B48:B53)-B49</f>
        <v>240</v>
      </c>
      <c r="C54" s="24"/>
      <c r="D54" s="25"/>
    </row>
    <row r="55" spans="1:13" x14ac:dyDescent="0.25">
      <c r="A55" s="18" t="s">
        <v>26</v>
      </c>
      <c r="B55" s="19">
        <f>B47-B54</f>
        <v>110</v>
      </c>
      <c r="C55" s="20"/>
      <c r="D55" s="21"/>
    </row>
    <row r="56" spans="1:13" x14ac:dyDescent="0.25">
      <c r="A56" s="26" t="s">
        <v>27</v>
      </c>
      <c r="B56" s="105">
        <f>B54-B55</f>
        <v>130</v>
      </c>
      <c r="C56" s="106">
        <v>0.25</v>
      </c>
      <c r="D56" s="107">
        <f>B56*C56</f>
        <v>32.5</v>
      </c>
    </row>
    <row r="57" spans="1:13" ht="14.4" thickBot="1" x14ac:dyDescent="0.3">
      <c r="A57" s="101" t="s">
        <v>29</v>
      </c>
      <c r="B57" s="102"/>
      <c r="C57" s="103"/>
      <c r="D57" s="104">
        <f>SUM(D48:D56)</f>
        <v>247.3</v>
      </c>
      <c r="F57" s="91"/>
    </row>
    <row r="58" spans="1:13" x14ac:dyDescent="0.25">
      <c r="A58" s="18" t="s">
        <v>73</v>
      </c>
      <c r="B58" s="19"/>
      <c r="D58" s="91">
        <v>100000</v>
      </c>
    </row>
    <row r="59" spans="1:13" x14ac:dyDescent="0.25">
      <c r="B59" s="19"/>
      <c r="D59" s="91"/>
    </row>
    <row r="60" spans="1:13" x14ac:dyDescent="0.25">
      <c r="B60" s="19"/>
      <c r="D60" s="91"/>
    </row>
    <row r="61" spans="1:13" x14ac:dyDescent="0.25">
      <c r="A61" t="s">
        <v>269</v>
      </c>
      <c r="B61" s="19"/>
      <c r="D61" s="91">
        <f>D57</f>
        <v>247.3</v>
      </c>
    </row>
    <row r="62" spans="1:13" x14ac:dyDescent="0.25">
      <c r="A62" t="s">
        <v>270</v>
      </c>
      <c r="B62" s="19"/>
      <c r="D62" s="91">
        <v>0.3</v>
      </c>
    </row>
    <row r="63" spans="1:13" x14ac:dyDescent="0.25">
      <c r="A63" t="s">
        <v>271</v>
      </c>
      <c r="B63" s="19"/>
      <c r="D63" s="91">
        <f>D62*D61</f>
        <v>74.19</v>
      </c>
    </row>
    <row r="64" spans="1:13" x14ac:dyDescent="0.25">
      <c r="A64" t="s">
        <v>151</v>
      </c>
      <c r="B64" s="19"/>
      <c r="D64" s="91">
        <f>D63/2</f>
        <v>37.094999999999999</v>
      </c>
    </row>
    <row r="65" spans="1:9" x14ac:dyDescent="0.25">
      <c r="A65" t="s">
        <v>272</v>
      </c>
      <c r="B65" s="19"/>
      <c r="D65" s="91">
        <f>D64*J51</f>
        <v>370950</v>
      </c>
    </row>
    <row r="66" spans="1:9" x14ac:dyDescent="0.25">
      <c r="B66" s="19"/>
      <c r="D66" s="91"/>
    </row>
    <row r="67" spans="1:9" x14ac:dyDescent="0.25">
      <c r="B67" s="19"/>
      <c r="D67" s="91"/>
    </row>
    <row r="68" spans="1:9" x14ac:dyDescent="0.25">
      <c r="B68" s="19"/>
      <c r="D68" s="91"/>
    </row>
    <row r="70" spans="1:9" ht="14.4" thickBot="1" x14ac:dyDescent="0.3">
      <c r="A70" t="s">
        <v>94</v>
      </c>
      <c r="B70">
        <v>2500</v>
      </c>
      <c r="F70" t="str">
        <f>A70</f>
        <v>לפי שומת הררי 2021</v>
      </c>
      <c r="G70">
        <v>3000</v>
      </c>
    </row>
    <row r="71" spans="1:9" x14ac:dyDescent="0.25">
      <c r="A71" s="10" t="s">
        <v>16</v>
      </c>
      <c r="B71" s="41" t="s">
        <v>20</v>
      </c>
      <c r="C71" s="41" t="s">
        <v>21</v>
      </c>
      <c r="D71" s="42" t="s">
        <v>22</v>
      </c>
      <c r="F71" s="10" t="s">
        <v>16</v>
      </c>
      <c r="G71" s="41" t="s">
        <v>20</v>
      </c>
      <c r="H71" s="41" t="s">
        <v>21</v>
      </c>
      <c r="I71" s="42" t="s">
        <v>22</v>
      </c>
    </row>
    <row r="72" spans="1:9" x14ac:dyDescent="0.25">
      <c r="A72" s="18" t="s">
        <v>14</v>
      </c>
      <c r="B72">
        <v>160</v>
      </c>
      <c r="C72">
        <v>1</v>
      </c>
      <c r="D72" s="21">
        <f t="shared" ref="D72:D77" si="2">C72*B72</f>
        <v>160</v>
      </c>
      <c r="F72" s="18" t="s">
        <v>14</v>
      </c>
      <c r="G72">
        <v>160</v>
      </c>
      <c r="H72">
        <v>1</v>
      </c>
      <c r="I72" s="21">
        <f>H72*G72</f>
        <v>160</v>
      </c>
    </row>
    <row r="73" spans="1:9" x14ac:dyDescent="0.25">
      <c r="A73" s="18" t="s">
        <v>15</v>
      </c>
      <c r="B73">
        <v>160</v>
      </c>
      <c r="C73">
        <v>1</v>
      </c>
      <c r="D73" s="21">
        <f t="shared" si="2"/>
        <v>160</v>
      </c>
      <c r="F73" s="18" t="s">
        <v>15</v>
      </c>
      <c r="G73">
        <v>160</v>
      </c>
      <c r="H73">
        <v>1</v>
      </c>
      <c r="I73" s="21">
        <f>H73*G73</f>
        <v>160</v>
      </c>
    </row>
    <row r="74" spans="1:9" x14ac:dyDescent="0.25">
      <c r="A74" s="18" t="s">
        <v>31</v>
      </c>
      <c r="B74">
        <v>55</v>
      </c>
      <c r="C74">
        <v>1</v>
      </c>
      <c r="D74" s="21">
        <f t="shared" si="2"/>
        <v>55</v>
      </c>
      <c r="F74" s="18" t="s">
        <v>31</v>
      </c>
      <c r="G74">
        <v>55</v>
      </c>
      <c r="H74">
        <v>1</v>
      </c>
      <c r="I74" s="21">
        <f>H74*G74</f>
        <v>55</v>
      </c>
    </row>
    <row r="75" spans="1:9" x14ac:dyDescent="0.25">
      <c r="A75" s="18" t="s">
        <v>25</v>
      </c>
      <c r="B75" s="40">
        <f>SUM(B72:B74)</f>
        <v>375</v>
      </c>
      <c r="D75" s="21"/>
      <c r="F75" s="18" t="s">
        <v>25</v>
      </c>
      <c r="G75" s="40">
        <f>SUM(G72:G74)</f>
        <v>375</v>
      </c>
      <c r="I75" s="21"/>
    </row>
    <row r="76" spans="1:9" x14ac:dyDescent="0.25">
      <c r="A76" s="18" t="s">
        <v>32</v>
      </c>
      <c r="B76">
        <v>1125</v>
      </c>
      <c r="C76" s="20">
        <v>0.25</v>
      </c>
      <c r="D76" s="21">
        <f t="shared" si="2"/>
        <v>281.25</v>
      </c>
      <c r="F76" s="18" t="s">
        <v>32</v>
      </c>
      <c r="G76">
        <v>1125</v>
      </c>
      <c r="H76" s="20">
        <v>0.25</v>
      </c>
      <c r="I76" s="21">
        <f>H76*G76</f>
        <v>281.25</v>
      </c>
    </row>
    <row r="77" spans="1:9" x14ac:dyDescent="0.25">
      <c r="A77" s="18" t="s">
        <v>52</v>
      </c>
      <c r="B77">
        <f>B70-B75-B76</f>
        <v>1000</v>
      </c>
      <c r="C77" s="20">
        <v>0.15</v>
      </c>
      <c r="D77" s="21">
        <f t="shared" si="2"/>
        <v>150</v>
      </c>
      <c r="F77" s="18" t="s">
        <v>52</v>
      </c>
      <c r="G77">
        <v>1000</v>
      </c>
      <c r="H77" s="20">
        <v>0.15</v>
      </c>
      <c r="I77" s="21">
        <f>H77*G77</f>
        <v>150</v>
      </c>
    </row>
    <row r="78" spans="1:9" x14ac:dyDescent="0.25">
      <c r="A78" s="18"/>
      <c r="C78" s="20"/>
      <c r="D78" s="21"/>
      <c r="F78" s="18" t="s">
        <v>71</v>
      </c>
      <c r="G78">
        <v>500</v>
      </c>
      <c r="H78" s="20">
        <v>0.1</v>
      </c>
      <c r="I78" s="128">
        <f>G78*H78</f>
        <v>50</v>
      </c>
    </row>
    <row r="79" spans="1:9" x14ac:dyDescent="0.25">
      <c r="A79" s="43" t="s">
        <v>29</v>
      </c>
      <c r="B79" s="40">
        <f>SUM(B72:B77)</f>
        <v>2875</v>
      </c>
      <c r="C79" s="40"/>
      <c r="D79" s="44">
        <f>SUM(D72:D77)</f>
        <v>806.25</v>
      </c>
      <c r="F79" s="43" t="s">
        <v>29</v>
      </c>
      <c r="G79" s="40">
        <f>SUM(G72:G78)</f>
        <v>3375</v>
      </c>
      <c r="H79" s="40"/>
      <c r="I79" s="44">
        <f>SUM(I72:I78)</f>
        <v>856.25</v>
      </c>
    </row>
    <row r="80" spans="1:9" ht="14.4" thickBot="1" x14ac:dyDescent="0.3">
      <c r="A80" s="34" t="s">
        <v>30</v>
      </c>
      <c r="B80" s="45"/>
      <c r="C80" s="45"/>
      <c r="D80" s="46">
        <f>D79</f>
        <v>806.25</v>
      </c>
      <c r="E80" s="72"/>
      <c r="F80" s="34" t="s">
        <v>30</v>
      </c>
      <c r="G80" s="45"/>
      <c r="H80" s="45"/>
      <c r="I80" s="46">
        <f>I79</f>
        <v>856.25</v>
      </c>
    </row>
    <row r="81" spans="1:9" x14ac:dyDescent="0.25">
      <c r="A81" t="s">
        <v>64</v>
      </c>
      <c r="D81" s="17">
        <v>175000</v>
      </c>
      <c r="F81" t="s">
        <v>64</v>
      </c>
      <c r="I81" s="17">
        <v>190000</v>
      </c>
    </row>
    <row r="85" spans="1:9" x14ac:dyDescent="0.25">
      <c r="A85" t="s">
        <v>47</v>
      </c>
    </row>
    <row r="87" spans="1:9" x14ac:dyDescent="0.25">
      <c r="A87" s="242" t="s">
        <v>93</v>
      </c>
      <c r="B87" s="242" t="s">
        <v>163</v>
      </c>
      <c r="C87" s="243">
        <v>0.05</v>
      </c>
      <c r="D87" s="242" t="s">
        <v>163</v>
      </c>
      <c r="E87" s="242" t="s">
        <v>273</v>
      </c>
      <c r="F87" s="242" t="s">
        <v>274</v>
      </c>
      <c r="G87" s="242" t="s">
        <v>275</v>
      </c>
    </row>
    <row r="89" spans="1:9" x14ac:dyDescent="0.25">
      <c r="E89" s="244" t="s">
        <v>276</v>
      </c>
    </row>
    <row r="90" spans="1:9" x14ac:dyDescent="0.25">
      <c r="A90" s="244">
        <v>2500</v>
      </c>
      <c r="B90" s="244" t="s">
        <v>163</v>
      </c>
      <c r="C90" s="245">
        <v>0.05</v>
      </c>
      <c r="D90" s="244" t="s">
        <v>163</v>
      </c>
      <c r="E90" s="244">
        <v>2.7</v>
      </c>
      <c r="F90" s="244" t="s">
        <v>274</v>
      </c>
      <c r="G90" s="244">
        <f>A90*C90*E90</f>
        <v>337.5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97"/>
  <sheetViews>
    <sheetView rightToLeft="1" topLeftCell="A2" zoomScale="115" zoomScaleNormal="115" workbookViewId="0">
      <selection activeCell="L73" sqref="L73"/>
    </sheetView>
  </sheetViews>
  <sheetFormatPr defaultRowHeight="13.8" x14ac:dyDescent="0.25"/>
  <cols>
    <col min="1" max="1" width="5.296875" customWidth="1"/>
    <col min="2" max="2" width="12.5" customWidth="1"/>
    <col min="3" max="3" width="9.1992187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1" max="11" width="27.19921875" bestFit="1" customWidth="1"/>
  </cols>
  <sheetData>
    <row r="2" spans="2:13" ht="15.6" x14ac:dyDescent="0.4">
      <c r="B2" s="39" t="s">
        <v>154</v>
      </c>
      <c r="C2" s="39"/>
      <c r="D2" s="131"/>
    </row>
    <row r="3" spans="2:13" x14ac:dyDescent="0.25">
      <c r="B3" t="s">
        <v>93</v>
      </c>
      <c r="C3" s="149">
        <v>8500</v>
      </c>
      <c r="D3" s="149"/>
      <c r="G3" s="190"/>
      <c r="H3" s="149"/>
      <c r="I3" s="150"/>
      <c r="J3" s="150"/>
    </row>
    <row r="4" spans="2:13" x14ac:dyDescent="0.25">
      <c r="B4" t="s">
        <v>129</v>
      </c>
      <c r="C4" s="187"/>
      <c r="D4" s="38"/>
      <c r="G4" s="190"/>
      <c r="J4" s="150"/>
    </row>
    <row r="5" spans="2:13" x14ac:dyDescent="0.25">
      <c r="B5" t="s">
        <v>130</v>
      </c>
    </row>
    <row r="6" spans="2:13" x14ac:dyDescent="0.25">
      <c r="B6" t="s">
        <v>131</v>
      </c>
      <c r="C6" s="150">
        <f>L67</f>
        <v>6855.0300000000007</v>
      </c>
      <c r="D6" s="149"/>
    </row>
    <row r="7" spans="2:13" x14ac:dyDescent="0.25">
      <c r="B7" t="s">
        <v>145</v>
      </c>
      <c r="C7" s="150">
        <v>10000</v>
      </c>
    </row>
    <row r="8" spans="2:13" x14ac:dyDescent="0.25">
      <c r="C8" s="150"/>
    </row>
    <row r="9" spans="2:13" x14ac:dyDescent="0.25">
      <c r="B9" s="39" t="s">
        <v>132</v>
      </c>
      <c r="C9" s="151"/>
    </row>
    <row r="10" spans="2:13" ht="27.6" x14ac:dyDescent="0.4">
      <c r="B10" s="39" t="s">
        <v>134</v>
      </c>
      <c r="C10" s="39" t="s">
        <v>133</v>
      </c>
      <c r="D10" s="131" t="s">
        <v>135</v>
      </c>
      <c r="E10" s="131" t="s">
        <v>136</v>
      </c>
      <c r="F10" s="131" t="s">
        <v>137</v>
      </c>
      <c r="G10" s="131" t="s">
        <v>138</v>
      </c>
      <c r="H10" s="189" t="s">
        <v>139</v>
      </c>
      <c r="I10" s="131" t="s">
        <v>140</v>
      </c>
      <c r="J10" s="131" t="s">
        <v>141</v>
      </c>
      <c r="K10" s="131" t="s">
        <v>142</v>
      </c>
      <c r="L10" s="131" t="s">
        <v>143</v>
      </c>
      <c r="M10" s="131" t="s">
        <v>144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3:11" x14ac:dyDescent="0.25">
      <c r="C17" s="17"/>
    </row>
    <row r="19" spans="3:11" x14ac:dyDescent="0.25">
      <c r="C19" s="150"/>
    </row>
    <row r="20" spans="3:11" x14ac:dyDescent="0.25">
      <c r="C20" s="150"/>
    </row>
    <row r="21" spans="3:11" x14ac:dyDescent="0.25">
      <c r="C21" s="150"/>
    </row>
    <row r="31" spans="3:11" x14ac:dyDescent="0.25">
      <c r="J31" s="149">
        <f>2083274</f>
        <v>2083274</v>
      </c>
    </row>
    <row r="32" spans="3:11" x14ac:dyDescent="0.25">
      <c r="J32" s="150">
        <f>J31*1.18*1.07</f>
        <v>2630341.7524000001</v>
      </c>
      <c r="K32" s="150">
        <f>J32/1150/0.33</f>
        <v>6931.0718113306984</v>
      </c>
    </row>
    <row r="37" spans="11:11" x14ac:dyDescent="0.25">
      <c r="K37" s="17"/>
    </row>
    <row r="50" spans="11:13" x14ac:dyDescent="0.25">
      <c r="K50" s="39" t="s">
        <v>266</v>
      </c>
      <c r="L50" s="39" t="s">
        <v>257</v>
      </c>
      <c r="M50" s="39" t="s">
        <v>258</v>
      </c>
    </row>
    <row r="51" spans="11:13" x14ac:dyDescent="0.25">
      <c r="K51" t="s">
        <v>259</v>
      </c>
      <c r="L51">
        <v>7668</v>
      </c>
      <c r="M51">
        <f>L51*0.85</f>
        <v>6517.8</v>
      </c>
    </row>
    <row r="52" spans="11:13" x14ac:dyDescent="0.25">
      <c r="K52" t="s">
        <v>260</v>
      </c>
      <c r="L52">
        <f>1.05*1.05</f>
        <v>1.1025</v>
      </c>
      <c r="M52">
        <f>L52</f>
        <v>1.1025</v>
      </c>
    </row>
    <row r="53" spans="11:13" x14ac:dyDescent="0.25">
      <c r="K53" t="s">
        <v>261</v>
      </c>
      <c r="L53">
        <f>L52*L51</f>
        <v>8453.9700000000012</v>
      </c>
      <c r="M53">
        <f>M52*M51</f>
        <v>7185.8745000000008</v>
      </c>
    </row>
    <row r="54" spans="11:13" x14ac:dyDescent="0.25">
      <c r="K54" t="s">
        <v>262</v>
      </c>
      <c r="L54">
        <v>0.9</v>
      </c>
      <c r="M54">
        <v>1</v>
      </c>
    </row>
    <row r="55" spans="11:13" x14ac:dyDescent="0.25">
      <c r="K55" t="s">
        <v>261</v>
      </c>
      <c r="L55">
        <f>L54*L53</f>
        <v>7608.5730000000012</v>
      </c>
      <c r="M55">
        <f>M53*M54</f>
        <v>7185.8745000000008</v>
      </c>
    </row>
    <row r="56" spans="11:13" x14ac:dyDescent="0.25">
      <c r="K56" t="s">
        <v>263</v>
      </c>
      <c r="L56">
        <v>8000</v>
      </c>
    </row>
    <row r="60" spans="11:13" ht="14.4" thickBot="1" x14ac:dyDescent="0.3"/>
    <row r="61" spans="11:13" x14ac:dyDescent="0.25">
      <c r="K61" s="290" t="s">
        <v>264</v>
      </c>
      <c r="L61" s="291"/>
      <c r="M61" s="292"/>
    </row>
    <row r="62" spans="11:13" x14ac:dyDescent="0.25">
      <c r="K62" s="18" t="s">
        <v>267</v>
      </c>
      <c r="L62" t="s">
        <v>257</v>
      </c>
      <c r="M62" s="21" t="s">
        <v>258</v>
      </c>
    </row>
    <row r="63" spans="11:13" x14ac:dyDescent="0.25">
      <c r="K63" s="18" t="s">
        <v>259</v>
      </c>
      <c r="L63">
        <v>7254</v>
      </c>
      <c r="M63" s="21">
        <f>L63*0.9</f>
        <v>6528.6</v>
      </c>
    </row>
    <row r="64" spans="11:13" x14ac:dyDescent="0.25">
      <c r="K64" s="18" t="s">
        <v>260</v>
      </c>
      <c r="L64">
        <v>1.05</v>
      </c>
      <c r="M64" s="21">
        <f>L64</f>
        <v>1.05</v>
      </c>
    </row>
    <row r="65" spans="2:13" x14ac:dyDescent="0.25">
      <c r="K65" s="18" t="s">
        <v>261</v>
      </c>
      <c r="L65">
        <f>L64*L63</f>
        <v>7616.7000000000007</v>
      </c>
      <c r="M65" s="21">
        <f>M64*M63</f>
        <v>6855.0300000000007</v>
      </c>
    </row>
    <row r="66" spans="2:13" x14ac:dyDescent="0.25">
      <c r="K66" s="18" t="s">
        <v>262</v>
      </c>
      <c r="L66">
        <v>0.9</v>
      </c>
      <c r="M66" s="21">
        <v>1</v>
      </c>
    </row>
    <row r="67" spans="2:13" x14ac:dyDescent="0.25">
      <c r="K67" s="18" t="s">
        <v>261</v>
      </c>
      <c r="L67">
        <f>L66*L65</f>
        <v>6855.0300000000007</v>
      </c>
      <c r="M67" s="21">
        <f>M65*M66</f>
        <v>6855.0300000000007</v>
      </c>
    </row>
    <row r="68" spans="2:13" x14ac:dyDescent="0.25">
      <c r="K68" s="241" t="s">
        <v>263</v>
      </c>
      <c r="L68" s="68">
        <v>8000</v>
      </c>
      <c r="M68" s="21"/>
    </row>
    <row r="69" spans="2:13" ht="14.4" thickBot="1" x14ac:dyDescent="0.3">
      <c r="K69" s="238"/>
      <c r="L69" s="239"/>
      <c r="M69" s="240"/>
    </row>
    <row r="75" spans="2:13" x14ac:dyDescent="0.25">
      <c r="B75" s="227" t="s">
        <v>233</v>
      </c>
      <c r="D75"/>
      <c r="E75"/>
      <c r="F75"/>
    </row>
    <row r="76" spans="2:13" x14ac:dyDescent="0.25">
      <c r="D76"/>
      <c r="E76"/>
      <c r="F76"/>
    </row>
    <row r="77" spans="2:13" x14ac:dyDescent="0.25">
      <c r="B77" s="228" t="s">
        <v>234</v>
      </c>
      <c r="D77"/>
      <c r="E77"/>
      <c r="F77"/>
    </row>
    <row r="78" spans="2:13" x14ac:dyDescent="0.25">
      <c r="B78" s="228" t="s">
        <v>235</v>
      </c>
      <c r="D78"/>
      <c r="E78"/>
      <c r="F78"/>
    </row>
    <row r="79" spans="2:13" ht="14.4" thickBot="1" x14ac:dyDescent="0.3">
      <c r="B79" s="229"/>
      <c r="D79"/>
      <c r="E79"/>
      <c r="F79"/>
    </row>
    <row r="80" spans="2:13" ht="39.6" x14ac:dyDescent="0.25">
      <c r="B80" s="230" t="s">
        <v>236</v>
      </c>
      <c r="C80" s="230" t="s">
        <v>237</v>
      </c>
      <c r="D80" s="230" t="s">
        <v>238</v>
      </c>
      <c r="E80" s="230" t="s">
        <v>239</v>
      </c>
      <c r="F80" s="230" t="s">
        <v>240</v>
      </c>
      <c r="G80" s="230" t="s">
        <v>241</v>
      </c>
      <c r="H80" s="230" t="s">
        <v>138</v>
      </c>
      <c r="I80" s="230" t="s">
        <v>242</v>
      </c>
      <c r="J80" s="230" t="s">
        <v>243</v>
      </c>
      <c r="K80" s="230" t="s">
        <v>244</v>
      </c>
      <c r="L80" s="230" t="s">
        <v>245</v>
      </c>
    </row>
    <row r="81" spans="2:12" ht="26.4" x14ac:dyDescent="0.25">
      <c r="B81" s="231" t="s">
        <v>246</v>
      </c>
      <c r="C81" s="232">
        <v>45459</v>
      </c>
      <c r="D81" s="233">
        <v>6500000</v>
      </c>
      <c r="E81" s="233">
        <f>D81/1.05</f>
        <v>6190476.1904761903</v>
      </c>
      <c r="F81" s="231" t="s">
        <v>247</v>
      </c>
      <c r="G81" s="231" t="s">
        <v>248</v>
      </c>
      <c r="H81" s="231">
        <v>2005</v>
      </c>
      <c r="I81" s="231">
        <v>500</v>
      </c>
      <c r="J81" s="231">
        <v>270</v>
      </c>
      <c r="K81" s="233">
        <f>J81*7000</f>
        <v>1890000</v>
      </c>
      <c r="L81" s="233">
        <f>E81-K81</f>
        <v>4300476.1904761903</v>
      </c>
    </row>
    <row r="82" spans="2:12" x14ac:dyDescent="0.25">
      <c r="D82"/>
      <c r="E82"/>
      <c r="F82"/>
    </row>
    <row r="83" spans="2:12" x14ac:dyDescent="0.25">
      <c r="D83"/>
      <c r="E83"/>
      <c r="F83"/>
    </row>
    <row r="84" spans="2:12" x14ac:dyDescent="0.25">
      <c r="B84" s="228"/>
      <c r="D84"/>
      <c r="E84"/>
      <c r="F84"/>
    </row>
    <row r="85" spans="2:12" x14ac:dyDescent="0.25">
      <c r="B85" s="283" t="s">
        <v>249</v>
      </c>
      <c r="C85" s="283"/>
      <c r="D85" s="283"/>
      <c r="E85" s="283"/>
      <c r="F85"/>
    </row>
    <row r="86" spans="2:12" x14ac:dyDescent="0.25">
      <c r="B86" s="234" t="s">
        <v>240</v>
      </c>
      <c r="C86" s="235" t="s">
        <v>243</v>
      </c>
      <c r="D86" s="235" t="s">
        <v>21</v>
      </c>
      <c r="E86" s="235" t="s">
        <v>8</v>
      </c>
      <c r="F86"/>
    </row>
    <row r="87" spans="2:12" x14ac:dyDescent="0.25">
      <c r="B87" s="234" t="s">
        <v>250</v>
      </c>
      <c r="C87" s="235">
        <f>180/2-C88</f>
        <v>82.5</v>
      </c>
      <c r="D87" s="235">
        <v>1</v>
      </c>
      <c r="E87" s="235">
        <f>D87*C87</f>
        <v>82.5</v>
      </c>
      <c r="F87"/>
    </row>
    <row r="88" spans="2:12" x14ac:dyDescent="0.25">
      <c r="B88" s="234" t="s">
        <v>251</v>
      </c>
      <c r="C88" s="235">
        <v>7.5</v>
      </c>
      <c r="D88" s="235">
        <v>0.9</v>
      </c>
      <c r="E88" s="235">
        <f t="shared" ref="E88:E92" si="0">D88*C88</f>
        <v>6.75</v>
      </c>
      <c r="F88"/>
    </row>
    <row r="89" spans="2:12" x14ac:dyDescent="0.25">
      <c r="B89" s="234" t="s">
        <v>252</v>
      </c>
      <c r="C89" s="235">
        <f>180-C87</f>
        <v>97.5</v>
      </c>
      <c r="D89" s="235">
        <v>1</v>
      </c>
      <c r="E89" s="235">
        <f t="shared" si="0"/>
        <v>97.5</v>
      </c>
      <c r="F89"/>
    </row>
    <row r="90" spans="2:12" x14ac:dyDescent="0.25">
      <c r="B90" s="235" t="s">
        <v>253</v>
      </c>
      <c r="C90" s="235">
        <v>45</v>
      </c>
      <c r="D90" s="235">
        <v>0.5</v>
      </c>
      <c r="E90" s="235">
        <f t="shared" si="0"/>
        <v>22.5</v>
      </c>
      <c r="F90"/>
    </row>
    <row r="91" spans="2:12" x14ac:dyDescent="0.25">
      <c r="B91" s="235" t="s">
        <v>254</v>
      </c>
      <c r="C91" s="235">
        <v>40</v>
      </c>
      <c r="D91" s="235">
        <v>0.7</v>
      </c>
      <c r="E91" s="235">
        <f t="shared" si="0"/>
        <v>28</v>
      </c>
      <c r="F91"/>
    </row>
    <row r="92" spans="2:12" x14ac:dyDescent="0.25">
      <c r="B92" s="235" t="s">
        <v>28</v>
      </c>
      <c r="C92" s="235">
        <f>I81-C87-C88-C90-C91</f>
        <v>325</v>
      </c>
      <c r="D92" s="235">
        <v>0.25</v>
      </c>
      <c r="E92" s="235">
        <f t="shared" si="0"/>
        <v>81.25</v>
      </c>
      <c r="F92"/>
    </row>
    <row r="93" spans="2:12" x14ac:dyDescent="0.25">
      <c r="B93" s="284" t="s">
        <v>8</v>
      </c>
      <c r="C93" s="285"/>
      <c r="D93" s="286"/>
      <c r="E93" s="235">
        <f>SUM(E87:E92)</f>
        <v>318.5</v>
      </c>
      <c r="F93"/>
    </row>
    <row r="94" spans="2:12" x14ac:dyDescent="0.25">
      <c r="B94" s="284" t="s">
        <v>255</v>
      </c>
      <c r="C94" s="285"/>
      <c r="D94" s="286"/>
      <c r="E94" s="236">
        <f>L81</f>
        <v>4300476.1904761903</v>
      </c>
      <c r="F94"/>
    </row>
    <row r="95" spans="2:12" x14ac:dyDescent="0.25">
      <c r="B95" s="287" t="s">
        <v>256</v>
      </c>
      <c r="C95" s="288"/>
      <c r="D95" s="289"/>
      <c r="E95" s="237">
        <f>E94/E93</f>
        <v>13502.280032892277</v>
      </c>
      <c r="F95"/>
    </row>
    <row r="96" spans="2:12" x14ac:dyDescent="0.25">
      <c r="D96" t="s">
        <v>21</v>
      </c>
      <c r="E96">
        <v>0.85</v>
      </c>
      <c r="F96"/>
    </row>
    <row r="97" spans="4:5" x14ac:dyDescent="0.25">
      <c r="D97" s="17" t="s">
        <v>8</v>
      </c>
      <c r="E97" s="17">
        <f>E96*E95</f>
        <v>11476.938027958435</v>
      </c>
    </row>
  </sheetData>
  <mergeCells count="5">
    <mergeCell ref="B85:E85"/>
    <mergeCell ref="B93:D93"/>
    <mergeCell ref="B94:D94"/>
    <mergeCell ref="B95:D95"/>
    <mergeCell ref="K61:M6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T60"/>
  <sheetViews>
    <sheetView rightToLeft="1" zoomScale="130" zoomScaleNormal="130" workbookViewId="0">
      <selection activeCell="L3" sqref="L3"/>
    </sheetView>
  </sheetViews>
  <sheetFormatPr defaultRowHeight="13.8" x14ac:dyDescent="0.25"/>
  <cols>
    <col min="1" max="1" width="19.69921875" customWidth="1"/>
    <col min="2" max="3" width="6" customWidth="1"/>
    <col min="4" max="5" width="17.5" customWidth="1"/>
    <col min="6" max="6" width="14.09765625" style="17" customWidth="1"/>
    <col min="7" max="7" width="14.69921875" customWidth="1"/>
    <col min="8" max="8" width="12.69921875" customWidth="1"/>
    <col min="9" max="9" width="13.3984375" customWidth="1"/>
    <col min="10" max="10" width="11.09765625" customWidth="1"/>
    <col min="11" max="11" width="11.59765625" customWidth="1"/>
    <col min="12" max="12" width="11.09765625" customWidth="1"/>
    <col min="13" max="13" width="10.296875" customWidth="1"/>
    <col min="14" max="14" width="9.19921875" customWidth="1"/>
    <col min="15" max="21" width="9.59765625" customWidth="1"/>
  </cols>
  <sheetData>
    <row r="1" spans="1:20" ht="16.5" customHeight="1" thickBot="1" x14ac:dyDescent="0.3">
      <c r="D1" s="66"/>
      <c r="E1" s="66"/>
      <c r="F1"/>
    </row>
    <row r="2" spans="1:20" ht="42" thickBot="1" x14ac:dyDescent="0.3">
      <c r="A2" s="120" t="s">
        <v>33</v>
      </c>
      <c r="B2" s="192" t="s">
        <v>160</v>
      </c>
      <c r="C2" s="120" t="s">
        <v>161</v>
      </c>
      <c r="D2" s="92" t="s">
        <v>214</v>
      </c>
      <c r="E2" s="92" t="s">
        <v>232</v>
      </c>
      <c r="F2" s="97" t="s">
        <v>230</v>
      </c>
      <c r="G2" s="97" t="s">
        <v>231</v>
      </c>
      <c r="H2" s="222" t="s">
        <v>215</v>
      </c>
      <c r="I2" s="223" t="s">
        <v>216</v>
      </c>
      <c r="J2" s="224" t="s">
        <v>217</v>
      </c>
      <c r="K2" s="117" t="s">
        <v>219</v>
      </c>
      <c r="L2" s="225" t="s">
        <v>218</v>
      </c>
      <c r="M2" s="117"/>
      <c r="N2" s="117"/>
      <c r="O2" s="47"/>
      <c r="P2" s="47"/>
      <c r="Q2" s="47"/>
      <c r="R2" s="117"/>
      <c r="S2" s="117"/>
      <c r="T2" s="118"/>
    </row>
    <row r="3" spans="1:20" x14ac:dyDescent="0.25">
      <c r="A3" s="121" t="s">
        <v>149</v>
      </c>
      <c r="B3" s="193"/>
      <c r="C3" s="121"/>
      <c r="D3" s="93">
        <v>260</v>
      </c>
      <c r="E3" s="93">
        <v>28</v>
      </c>
      <c r="F3" s="144">
        <v>18</v>
      </c>
      <c r="G3" s="93">
        <v>44</v>
      </c>
      <c r="H3" s="64">
        <v>190</v>
      </c>
      <c r="I3" s="64">
        <v>79</v>
      </c>
      <c r="J3" s="64">
        <v>860</v>
      </c>
      <c r="K3" s="49">
        <f>93+29</f>
        <v>122</v>
      </c>
      <c r="L3" s="49">
        <v>122</v>
      </c>
      <c r="M3" s="49"/>
      <c r="N3" s="49"/>
      <c r="O3" s="48"/>
      <c r="P3" s="48"/>
      <c r="Q3" s="48"/>
      <c r="R3" s="49"/>
      <c r="S3" s="49"/>
      <c r="T3" s="50"/>
    </row>
    <row r="4" spans="1:20" x14ac:dyDescent="0.25">
      <c r="A4" s="121" t="s">
        <v>92</v>
      </c>
      <c r="B4" s="193"/>
      <c r="C4" s="121"/>
      <c r="D4" s="93"/>
      <c r="E4" s="93"/>
      <c r="F4" s="144"/>
      <c r="G4" s="93"/>
      <c r="H4" s="64"/>
      <c r="I4" s="64"/>
      <c r="J4" s="64"/>
      <c r="K4" s="49"/>
      <c r="L4" s="49"/>
      <c r="M4" s="49"/>
      <c r="N4" s="49"/>
      <c r="O4" s="48"/>
      <c r="P4" s="48"/>
      <c r="Q4" s="48"/>
      <c r="R4" s="49"/>
      <c r="S4" s="49"/>
      <c r="T4" s="50"/>
    </row>
    <row r="5" spans="1:20" x14ac:dyDescent="0.25">
      <c r="A5" s="121" t="s">
        <v>74</v>
      </c>
      <c r="B5" s="193"/>
      <c r="C5" s="121"/>
      <c r="D5" s="93"/>
      <c r="E5" s="93"/>
      <c r="F5" s="144"/>
      <c r="G5" s="93"/>
      <c r="H5" s="64"/>
      <c r="I5" s="64"/>
      <c r="J5" s="64"/>
      <c r="K5" s="49"/>
      <c r="L5" s="49"/>
      <c r="M5" s="49"/>
      <c r="N5" s="49"/>
      <c r="O5" s="48"/>
      <c r="P5" s="48"/>
      <c r="Q5" s="48"/>
      <c r="R5" s="49"/>
      <c r="S5" s="49"/>
      <c r="T5" s="50"/>
    </row>
    <row r="6" spans="1:20" x14ac:dyDescent="0.25">
      <c r="A6" s="121" t="s">
        <v>100</v>
      </c>
      <c r="B6" s="193"/>
      <c r="C6" s="121"/>
      <c r="D6" s="221">
        <v>52</v>
      </c>
      <c r="E6" s="221"/>
      <c r="F6" s="144"/>
      <c r="G6" s="93"/>
      <c r="H6" s="64">
        <v>28</v>
      </c>
      <c r="I6" s="64"/>
      <c r="J6" s="64"/>
      <c r="K6" s="49"/>
      <c r="L6" s="49"/>
      <c r="M6" s="49"/>
      <c r="N6" s="49"/>
      <c r="O6" s="48"/>
      <c r="P6" s="48"/>
      <c r="Q6" s="48"/>
      <c r="R6" s="49"/>
      <c r="S6" s="49"/>
      <c r="T6" s="50"/>
    </row>
    <row r="7" spans="1:20" x14ac:dyDescent="0.25">
      <c r="A7" s="121" t="s">
        <v>146</v>
      </c>
      <c r="B7" s="193"/>
      <c r="C7" s="121"/>
      <c r="D7" s="93"/>
      <c r="E7" s="93"/>
      <c r="F7" s="64"/>
      <c r="G7" s="93"/>
      <c r="H7" s="64"/>
      <c r="I7" s="64"/>
      <c r="J7" s="64"/>
      <c r="K7" s="49"/>
      <c r="L7" s="49"/>
      <c r="M7" s="49"/>
      <c r="N7" s="49"/>
      <c r="O7" s="48"/>
      <c r="P7" s="48"/>
      <c r="Q7" s="48"/>
      <c r="R7" s="49"/>
      <c r="S7" s="49"/>
      <c r="T7" s="50"/>
    </row>
    <row r="8" spans="1:20" x14ac:dyDescent="0.25">
      <c r="A8" s="121" t="s">
        <v>147</v>
      </c>
      <c r="B8" s="193"/>
      <c r="C8" s="121"/>
      <c r="D8" s="94"/>
      <c r="E8" s="94"/>
      <c r="F8" s="54"/>
      <c r="G8" s="94"/>
      <c r="H8" s="54"/>
      <c r="I8" s="54"/>
      <c r="J8" s="54"/>
      <c r="K8" s="52"/>
      <c r="L8" s="52"/>
      <c r="M8" s="52"/>
      <c r="N8" s="52"/>
      <c r="O8" s="51"/>
      <c r="P8" s="51"/>
      <c r="Q8" s="51"/>
      <c r="R8" s="52"/>
      <c r="S8" s="52"/>
      <c r="T8" s="53"/>
    </row>
    <row r="9" spans="1:20" x14ac:dyDescent="0.25">
      <c r="A9" s="121" t="s">
        <v>148</v>
      </c>
      <c r="B9" s="194"/>
      <c r="C9" s="209"/>
      <c r="D9" s="95"/>
      <c r="E9" s="95"/>
      <c r="F9" s="56"/>
      <c r="G9" s="94"/>
      <c r="H9" s="54"/>
      <c r="I9" s="54"/>
      <c r="J9" s="54"/>
      <c r="K9" s="52"/>
      <c r="L9" s="52"/>
      <c r="M9" s="52"/>
      <c r="N9" s="52"/>
      <c r="O9" s="51"/>
      <c r="P9" s="51"/>
      <c r="Q9" s="51"/>
      <c r="R9" s="52"/>
      <c r="S9" s="52"/>
      <c r="T9" s="53"/>
    </row>
    <row r="10" spans="1:20" x14ac:dyDescent="0.25">
      <c r="A10" s="122" t="s">
        <v>48</v>
      </c>
      <c r="B10" s="195"/>
      <c r="C10" s="123"/>
      <c r="D10" s="95"/>
      <c r="E10" s="95"/>
      <c r="F10" s="56"/>
      <c r="G10" s="94"/>
      <c r="H10" s="54"/>
      <c r="I10" s="54"/>
      <c r="J10" s="54"/>
      <c r="K10" s="52"/>
      <c r="L10" s="52"/>
      <c r="M10" s="52"/>
      <c r="N10" s="52"/>
      <c r="O10" s="51"/>
      <c r="P10" s="51"/>
      <c r="Q10" s="51"/>
      <c r="R10" s="52"/>
      <c r="S10" s="52"/>
      <c r="T10" s="53"/>
    </row>
    <row r="11" spans="1:20" x14ac:dyDescent="0.25">
      <c r="A11" s="123" t="s">
        <v>89</v>
      </c>
      <c r="B11" s="195"/>
      <c r="C11" s="123"/>
      <c r="D11" s="95"/>
      <c r="E11" s="95"/>
      <c r="F11" s="56"/>
      <c r="G11" s="95"/>
      <c r="H11" s="56"/>
      <c r="I11" s="56"/>
      <c r="J11" s="56"/>
      <c r="K11" s="57"/>
      <c r="L11" s="57"/>
      <c r="M11" s="57"/>
      <c r="N11" s="57"/>
      <c r="O11" s="55"/>
      <c r="P11" s="55"/>
      <c r="Q11" s="55"/>
      <c r="R11" s="57"/>
      <c r="S11" s="57"/>
      <c r="T11" s="58"/>
    </row>
    <row r="12" spans="1:20" ht="14.4" thickBot="1" x14ac:dyDescent="0.3">
      <c r="A12" s="124" t="s">
        <v>85</v>
      </c>
      <c r="B12" s="196"/>
      <c r="C12" s="124"/>
      <c r="D12" s="96"/>
      <c r="E12" s="96"/>
      <c r="F12" s="90"/>
      <c r="G12" s="96"/>
      <c r="H12" s="90"/>
      <c r="I12" s="90"/>
      <c r="J12" s="90"/>
      <c r="K12" s="60"/>
      <c r="L12" s="60"/>
      <c r="M12" s="60"/>
      <c r="N12" s="60"/>
      <c r="O12" s="59"/>
      <c r="P12" s="59"/>
      <c r="Q12" s="59"/>
      <c r="R12" s="60"/>
      <c r="S12" s="60"/>
      <c r="T12" s="61"/>
    </row>
    <row r="13" spans="1:20" ht="15" thickTop="1" thickBot="1" x14ac:dyDescent="0.3">
      <c r="A13" s="200" t="s">
        <v>34</v>
      </c>
      <c r="B13" s="211"/>
      <c r="C13" s="210"/>
      <c r="D13" s="207">
        <f t="shared" ref="D13:I13" si="0">SUM(D3:D12)</f>
        <v>312</v>
      </c>
      <c r="E13" s="207">
        <f t="shared" si="0"/>
        <v>28</v>
      </c>
      <c r="F13" s="201">
        <f t="shared" si="0"/>
        <v>18</v>
      </c>
      <c r="G13" s="201">
        <f t="shared" si="0"/>
        <v>44</v>
      </c>
      <c r="H13" s="201">
        <f t="shared" si="0"/>
        <v>218</v>
      </c>
      <c r="I13" s="201">
        <f t="shared" si="0"/>
        <v>79</v>
      </c>
      <c r="J13" s="202">
        <f t="shared" ref="J13:T13" si="1">SUM(J3:J12)</f>
        <v>860</v>
      </c>
      <c r="K13" s="202">
        <f t="shared" si="1"/>
        <v>122</v>
      </c>
      <c r="L13" s="202">
        <f t="shared" si="1"/>
        <v>122</v>
      </c>
      <c r="M13" s="202">
        <f t="shared" si="1"/>
        <v>0</v>
      </c>
      <c r="N13" s="202">
        <f t="shared" si="1"/>
        <v>0</v>
      </c>
      <c r="O13" s="203">
        <f t="shared" si="1"/>
        <v>0</v>
      </c>
      <c r="P13" s="203">
        <f t="shared" si="1"/>
        <v>0</v>
      </c>
      <c r="Q13" s="203">
        <f t="shared" si="1"/>
        <v>0</v>
      </c>
      <c r="R13" s="202">
        <f t="shared" si="1"/>
        <v>0</v>
      </c>
      <c r="S13" s="202">
        <f t="shared" si="1"/>
        <v>0</v>
      </c>
      <c r="T13" s="204">
        <f t="shared" si="1"/>
        <v>0</v>
      </c>
    </row>
    <row r="14" spans="1:20" ht="28.2" thickBot="1" x14ac:dyDescent="0.3">
      <c r="A14" s="126" t="s">
        <v>35</v>
      </c>
      <c r="B14" s="192" t="s">
        <v>160</v>
      </c>
      <c r="C14" s="120" t="s">
        <v>161</v>
      </c>
      <c r="D14" s="206"/>
      <c r="E14" s="206"/>
      <c r="F14" s="205"/>
      <c r="G14" s="206"/>
      <c r="H14" s="62"/>
      <c r="I14" s="62"/>
      <c r="J14" s="62"/>
      <c r="K14" s="62"/>
      <c r="L14" s="62"/>
      <c r="M14" s="62"/>
      <c r="N14" s="140"/>
      <c r="O14" s="62"/>
      <c r="P14" s="62"/>
      <c r="Q14" s="62"/>
      <c r="R14" s="140"/>
      <c r="S14" s="140"/>
      <c r="T14" s="63"/>
    </row>
    <row r="15" spans="1:20" x14ac:dyDescent="0.25">
      <c r="A15" s="122" t="s">
        <v>198</v>
      </c>
      <c r="B15" s="197"/>
      <c r="C15" s="122"/>
      <c r="D15" s="52"/>
      <c r="E15" s="52"/>
      <c r="F15" s="145">
        <v>93.5</v>
      </c>
      <c r="G15" s="52"/>
      <c r="H15" s="64"/>
      <c r="I15" s="64"/>
      <c r="J15" s="48"/>
      <c r="K15" s="64"/>
      <c r="L15" s="48"/>
      <c r="M15" s="48"/>
      <c r="N15" s="48"/>
      <c r="O15" s="48"/>
      <c r="P15" s="48"/>
      <c r="Q15" s="48"/>
      <c r="R15" s="49"/>
      <c r="S15" s="49"/>
      <c r="T15" s="50"/>
    </row>
    <row r="16" spans="1:20" x14ac:dyDescent="0.25">
      <c r="A16" s="122" t="s">
        <v>195</v>
      </c>
      <c r="B16" s="197"/>
      <c r="C16" s="122"/>
      <c r="D16" s="52"/>
      <c r="E16" s="52"/>
      <c r="F16" s="51"/>
      <c r="G16" s="52"/>
      <c r="H16" s="64"/>
      <c r="I16" s="64"/>
      <c r="J16" s="48"/>
      <c r="K16" s="64"/>
      <c r="L16" s="48"/>
      <c r="M16" s="48"/>
      <c r="N16" s="48"/>
      <c r="O16" s="48"/>
      <c r="P16" s="48"/>
      <c r="Q16" s="48"/>
      <c r="R16" s="49"/>
      <c r="S16" s="49"/>
      <c r="T16" s="50"/>
    </row>
    <row r="17" spans="1:20" x14ac:dyDescent="0.25">
      <c r="A17" s="122" t="s">
        <v>194</v>
      </c>
      <c r="B17" s="197"/>
      <c r="C17" s="122"/>
      <c r="D17" s="52">
        <v>117.64</v>
      </c>
      <c r="E17" s="52"/>
      <c r="F17" s="51"/>
      <c r="G17" s="52"/>
      <c r="H17" s="64"/>
      <c r="I17" s="64"/>
      <c r="J17" s="48"/>
      <c r="K17" s="64"/>
      <c r="L17" s="48"/>
      <c r="M17" s="48"/>
      <c r="N17" s="48"/>
      <c r="O17" s="48"/>
      <c r="P17" s="48"/>
      <c r="Q17" s="48"/>
      <c r="R17" s="49"/>
      <c r="S17" s="49"/>
      <c r="T17" s="50"/>
    </row>
    <row r="18" spans="1:20" x14ac:dyDescent="0.25">
      <c r="A18" s="122" t="s">
        <v>197</v>
      </c>
      <c r="B18" s="197"/>
      <c r="C18" s="122"/>
      <c r="D18" s="52"/>
      <c r="E18" s="52"/>
      <c r="F18" s="51"/>
      <c r="G18" s="52"/>
      <c r="H18" s="64"/>
      <c r="I18" s="64"/>
      <c r="J18" s="48"/>
      <c r="K18" s="64"/>
      <c r="L18" s="48"/>
      <c r="M18" s="48"/>
      <c r="N18" s="48"/>
      <c r="O18" s="48"/>
      <c r="P18" s="48"/>
      <c r="Q18" s="48"/>
      <c r="R18" s="49"/>
      <c r="S18" s="49"/>
      <c r="T18" s="50"/>
    </row>
    <row r="19" spans="1:20" x14ac:dyDescent="0.25">
      <c r="A19" s="122" t="s">
        <v>197</v>
      </c>
      <c r="B19" s="197"/>
      <c r="C19" s="122"/>
      <c r="D19" s="52"/>
      <c r="E19" s="52"/>
      <c r="F19" s="51"/>
      <c r="G19" s="52"/>
      <c r="H19" s="64"/>
      <c r="I19" s="64"/>
      <c r="J19" s="48"/>
      <c r="K19" s="64"/>
      <c r="L19" s="48"/>
      <c r="M19" s="48"/>
      <c r="N19" s="48"/>
      <c r="O19" s="48"/>
      <c r="P19" s="48"/>
      <c r="Q19" s="48"/>
      <c r="R19" s="49"/>
      <c r="S19" s="49"/>
      <c r="T19" s="50"/>
    </row>
    <row r="20" spans="1:20" x14ac:dyDescent="0.25">
      <c r="A20" s="122" t="s">
        <v>196</v>
      </c>
      <c r="B20" s="197"/>
      <c r="C20" s="122"/>
      <c r="D20" s="52"/>
      <c r="E20" s="52"/>
      <c r="F20" s="51"/>
      <c r="G20" s="52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2"/>
      <c r="S20" s="52"/>
      <c r="T20" s="53"/>
    </row>
    <row r="21" spans="1:20" x14ac:dyDescent="0.25">
      <c r="A21" s="122"/>
      <c r="B21" s="197"/>
      <c r="C21" s="122"/>
      <c r="D21" s="49"/>
      <c r="E21" s="49"/>
      <c r="F21" s="51"/>
      <c r="G21" s="52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2"/>
      <c r="S21" s="52"/>
      <c r="T21" s="53"/>
    </row>
    <row r="22" spans="1:20" x14ac:dyDescent="0.25">
      <c r="A22" s="122"/>
      <c r="B22" s="197"/>
      <c r="C22" s="122"/>
      <c r="D22" s="52"/>
      <c r="E22" s="52"/>
      <c r="F22" s="51"/>
      <c r="G22" s="52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/>
      <c r="S22" s="52"/>
      <c r="T22" s="53"/>
    </row>
    <row r="23" spans="1:20" ht="14.4" thickBot="1" x14ac:dyDescent="0.3">
      <c r="A23" s="124"/>
      <c r="B23" s="196"/>
      <c r="C23" s="124"/>
      <c r="D23" s="60"/>
      <c r="E23" s="60"/>
      <c r="F23" s="59"/>
      <c r="G23" s="60"/>
      <c r="H23" s="59"/>
      <c r="I23" s="59"/>
      <c r="J23" s="59"/>
      <c r="K23" s="51"/>
      <c r="L23" s="51"/>
      <c r="M23" s="51"/>
      <c r="N23" s="51"/>
      <c r="O23" s="51"/>
      <c r="P23" s="59"/>
      <c r="Q23" s="59"/>
      <c r="R23" s="60"/>
      <c r="S23" s="60"/>
      <c r="T23" s="61"/>
    </row>
    <row r="24" spans="1:20" ht="14.4" thickTop="1" x14ac:dyDescent="0.25">
      <c r="A24" s="127" t="s">
        <v>88</v>
      </c>
      <c r="B24" s="198"/>
      <c r="C24" s="127"/>
      <c r="D24" s="208">
        <f>SUM(D17:D23)</f>
        <v>117.64</v>
      </c>
      <c r="E24" s="208"/>
      <c r="F24" s="119">
        <f>SUM(F17:F23)</f>
        <v>0</v>
      </c>
      <c r="G24" s="119">
        <f t="shared" ref="G24:T24" si="2">SUM(G15:G23)</f>
        <v>0</v>
      </c>
      <c r="H24" s="119">
        <f t="shared" si="2"/>
        <v>0</v>
      </c>
      <c r="I24" s="119">
        <f t="shared" si="2"/>
        <v>0</v>
      </c>
      <c r="J24" s="119">
        <f t="shared" si="2"/>
        <v>0</v>
      </c>
      <c r="K24" s="119">
        <f t="shared" si="2"/>
        <v>0</v>
      </c>
      <c r="L24" s="65">
        <f t="shared" si="2"/>
        <v>0</v>
      </c>
      <c r="M24" s="65">
        <f t="shared" si="2"/>
        <v>0</v>
      </c>
      <c r="N24" s="65">
        <f t="shared" si="2"/>
        <v>0</v>
      </c>
      <c r="O24" s="65">
        <f t="shared" si="2"/>
        <v>0</v>
      </c>
      <c r="P24" s="65">
        <f t="shared" si="2"/>
        <v>0</v>
      </c>
      <c r="Q24" s="65">
        <f t="shared" si="2"/>
        <v>0</v>
      </c>
      <c r="R24" s="141">
        <f t="shared" si="2"/>
        <v>0</v>
      </c>
      <c r="S24" s="141">
        <f t="shared" si="2"/>
        <v>0</v>
      </c>
      <c r="T24" s="139">
        <f t="shared" si="2"/>
        <v>0</v>
      </c>
    </row>
    <row r="25" spans="1:20" ht="14.4" thickBot="1" x14ac:dyDescent="0.3">
      <c r="A25" s="125" t="s">
        <v>36</v>
      </c>
      <c r="B25" s="199"/>
      <c r="C25" s="125"/>
      <c r="D25" s="142">
        <f t="shared" ref="D25:T25" si="3">D13-D24</f>
        <v>194.36</v>
      </c>
      <c r="E25" s="142"/>
      <c r="F25" s="138">
        <f t="shared" si="3"/>
        <v>18</v>
      </c>
      <c r="G25" s="138">
        <f t="shared" si="3"/>
        <v>44</v>
      </c>
      <c r="H25" s="138">
        <f t="shared" si="3"/>
        <v>218</v>
      </c>
      <c r="I25" s="138">
        <f t="shared" si="3"/>
        <v>79</v>
      </c>
      <c r="J25" s="138">
        <f t="shared" si="3"/>
        <v>860</v>
      </c>
      <c r="K25" s="138">
        <f t="shared" si="3"/>
        <v>122</v>
      </c>
      <c r="L25" s="138">
        <f t="shared" si="3"/>
        <v>122</v>
      </c>
      <c r="M25" s="138">
        <f t="shared" si="3"/>
        <v>0</v>
      </c>
      <c r="N25" s="138">
        <f t="shared" si="3"/>
        <v>0</v>
      </c>
      <c r="O25" s="138">
        <f t="shared" si="3"/>
        <v>0</v>
      </c>
      <c r="P25" s="138">
        <f t="shared" si="3"/>
        <v>0</v>
      </c>
      <c r="Q25" s="138">
        <f t="shared" si="3"/>
        <v>0</v>
      </c>
      <c r="R25" s="143">
        <f t="shared" si="3"/>
        <v>0</v>
      </c>
      <c r="S25" s="142">
        <f t="shared" si="3"/>
        <v>0</v>
      </c>
      <c r="T25" s="146">
        <f t="shared" si="3"/>
        <v>0</v>
      </c>
    </row>
    <row r="26" spans="1:20" x14ac:dyDescent="0.25">
      <c r="D26" s="135"/>
      <c r="E26" s="226"/>
      <c r="F26" s="73"/>
      <c r="G26" s="148"/>
      <c r="I26" s="73"/>
      <c r="J26" s="73"/>
      <c r="K26" s="73"/>
      <c r="L26" s="98"/>
      <c r="M26" s="148"/>
      <c r="N26" s="73"/>
    </row>
    <row r="27" spans="1:20" x14ac:dyDescent="0.25">
      <c r="A27" t="s">
        <v>86</v>
      </c>
      <c r="D27" s="136">
        <f>D8+D7</f>
        <v>0</v>
      </c>
      <c r="E27" s="136"/>
      <c r="G27" s="73"/>
    </row>
    <row r="28" spans="1:20" x14ac:dyDescent="0.25">
      <c r="F28" s="91">
        <f>F3*9300*5%*7</f>
        <v>58590</v>
      </c>
      <c r="G28" s="66"/>
      <c r="H28" s="91"/>
      <c r="I28" s="91"/>
      <c r="L28" s="91"/>
    </row>
    <row r="29" spans="1:20" x14ac:dyDescent="0.25">
      <c r="F29" s="38">
        <f>375-F24-G24-J24</f>
        <v>375</v>
      </c>
      <c r="G29" s="66"/>
      <c r="H29" s="91"/>
      <c r="I29" s="91"/>
    </row>
    <row r="30" spans="1:20" x14ac:dyDescent="0.25">
      <c r="O30" s="91"/>
      <c r="P30" s="91"/>
    </row>
    <row r="31" spans="1:20" x14ac:dyDescent="0.25">
      <c r="A31" s="67" t="s">
        <v>37</v>
      </c>
      <c r="B31" s="67"/>
      <c r="C31" s="67"/>
      <c r="D31" s="68"/>
      <c r="E31" s="68"/>
      <c r="M31" s="91"/>
      <c r="O31" s="17"/>
    </row>
    <row r="32" spans="1:20" x14ac:dyDescent="0.25">
      <c r="A32" t="s">
        <v>14</v>
      </c>
      <c r="F32" s="69">
        <f>-D13</f>
        <v>-312</v>
      </c>
      <c r="H32" s="72"/>
      <c r="I32" s="72"/>
      <c r="M32" s="91"/>
    </row>
    <row r="33" spans="1:11" x14ac:dyDescent="0.25">
      <c r="A33" t="s">
        <v>15</v>
      </c>
      <c r="F33" s="17">
        <f>-F13</f>
        <v>-18</v>
      </c>
      <c r="H33" s="72"/>
    </row>
    <row r="34" spans="1:11" x14ac:dyDescent="0.25">
      <c r="A34" t="s">
        <v>18</v>
      </c>
      <c r="F34" s="17">
        <f>J24</f>
        <v>0</v>
      </c>
    </row>
    <row r="35" spans="1:11" x14ac:dyDescent="0.25">
      <c r="A35" s="40" t="s">
        <v>8</v>
      </c>
      <c r="B35" s="40"/>
      <c r="C35" s="40"/>
      <c r="D35" s="40"/>
      <c r="E35" s="40"/>
      <c r="F35" s="23">
        <f>SUM(F31:F34)</f>
        <v>-330</v>
      </c>
      <c r="K35" s="72"/>
    </row>
    <row r="36" spans="1:11" x14ac:dyDescent="0.25">
      <c r="A36" t="s">
        <v>38</v>
      </c>
      <c r="F36" s="38">
        <v>375</v>
      </c>
      <c r="I36" s="91"/>
    </row>
    <row r="37" spans="1:11" x14ac:dyDescent="0.25">
      <c r="A37" s="40" t="s">
        <v>39</v>
      </c>
      <c r="B37" s="40"/>
      <c r="C37" s="40"/>
      <c r="D37" s="40"/>
      <c r="E37" s="40"/>
      <c r="F37" s="23">
        <f>SUM(F35:F36)</f>
        <v>45</v>
      </c>
    </row>
    <row r="38" spans="1:11" x14ac:dyDescent="0.25">
      <c r="A38" t="s">
        <v>40</v>
      </c>
      <c r="F38" s="17">
        <f>-F24-G24-J24</f>
        <v>0</v>
      </c>
    </row>
    <row r="39" spans="1:11" x14ac:dyDescent="0.25">
      <c r="A39" s="40" t="s">
        <v>41</v>
      </c>
      <c r="B39" s="40"/>
      <c r="C39" s="40"/>
      <c r="D39" s="40"/>
      <c r="E39" s="40"/>
      <c r="F39" s="70">
        <f>SUM(F37:F38)</f>
        <v>45</v>
      </c>
    </row>
    <row r="43" spans="1:11" x14ac:dyDescent="0.25">
      <c r="A43" s="130" t="s">
        <v>75</v>
      </c>
      <c r="B43" s="130"/>
      <c r="C43" s="130"/>
    </row>
    <row r="44" spans="1:11" ht="15.6" x14ac:dyDescent="0.4">
      <c r="A44" s="39" t="s">
        <v>76</v>
      </c>
      <c r="B44" s="39"/>
      <c r="C44" s="39"/>
      <c r="D44" s="39" t="s">
        <v>78</v>
      </c>
      <c r="E44" s="39"/>
      <c r="F44" s="131" t="s">
        <v>79</v>
      </c>
      <c r="G44" s="39" t="s">
        <v>82</v>
      </c>
      <c r="H44" s="39"/>
      <c r="I44" s="17"/>
      <c r="J44" s="17"/>
    </row>
    <row r="45" spans="1:11" x14ac:dyDescent="0.25">
      <c r="A45" t="s">
        <v>42</v>
      </c>
      <c r="G45" s="91">
        <f>F45-D45</f>
        <v>0</v>
      </c>
    </row>
    <row r="46" spans="1:11" x14ac:dyDescent="0.25">
      <c r="A46" t="s">
        <v>77</v>
      </c>
      <c r="G46" s="91">
        <f>F46-D46</f>
        <v>0</v>
      </c>
    </row>
    <row r="47" spans="1:11" x14ac:dyDescent="0.25">
      <c r="A47" s="108" t="s">
        <v>80</v>
      </c>
      <c r="B47" s="108"/>
      <c r="C47" s="108"/>
      <c r="D47" s="108">
        <f>SUM(D45:D46)</f>
        <v>0</v>
      </c>
      <c r="E47" s="108"/>
      <c r="F47" s="70">
        <f>SUM(F45:F46)</f>
        <v>0</v>
      </c>
      <c r="G47" s="132">
        <f>F47-D47</f>
        <v>0</v>
      </c>
    </row>
    <row r="49" spans="1:11" ht="15.6" x14ac:dyDescent="0.4">
      <c r="A49" s="39" t="s">
        <v>81</v>
      </c>
      <c r="B49" s="39"/>
      <c r="C49" s="39"/>
      <c r="D49" s="39" t="s">
        <v>78</v>
      </c>
      <c r="E49" s="39"/>
      <c r="F49" s="131" t="s">
        <v>79</v>
      </c>
      <c r="G49" s="39" t="s">
        <v>82</v>
      </c>
    </row>
    <row r="50" spans="1:11" x14ac:dyDescent="0.25">
      <c r="A50" t="s">
        <v>42</v>
      </c>
      <c r="G50" s="91">
        <f>F50-D50</f>
        <v>0</v>
      </c>
      <c r="H50" s="39"/>
      <c r="K50" s="17"/>
    </row>
    <row r="51" spans="1:11" x14ac:dyDescent="0.25">
      <c r="A51" t="s">
        <v>77</v>
      </c>
      <c r="G51" s="91">
        <f>F51-D51</f>
        <v>0</v>
      </c>
    </row>
    <row r="52" spans="1:11" x14ac:dyDescent="0.25">
      <c r="A52" s="108" t="s">
        <v>80</v>
      </c>
      <c r="B52" s="108"/>
      <c r="C52" s="108"/>
      <c r="D52" s="108">
        <f>SUM(D50:D51)</f>
        <v>0</v>
      </c>
      <c r="E52" s="108"/>
      <c r="F52" s="70">
        <f>SUM(F50:F51)</f>
        <v>0</v>
      </c>
      <c r="G52" s="132">
        <f>F52-D52</f>
        <v>0</v>
      </c>
      <c r="K52" s="147"/>
    </row>
    <row r="54" spans="1:11" x14ac:dyDescent="0.25">
      <c r="A54" s="133" t="s">
        <v>8</v>
      </c>
      <c r="B54" s="133"/>
      <c r="C54" s="133"/>
      <c r="D54" s="133">
        <f>D52+D47</f>
        <v>0</v>
      </c>
      <c r="E54" s="133"/>
      <c r="F54" s="133">
        <f>F52+F47</f>
        <v>0</v>
      </c>
      <c r="G54" s="134">
        <f>G52+G47</f>
        <v>0</v>
      </c>
    </row>
    <row r="58" spans="1:11" x14ac:dyDescent="0.25">
      <c r="H58" s="39"/>
      <c r="K58" s="17"/>
    </row>
    <row r="60" spans="1:11" x14ac:dyDescent="0.25">
      <c r="K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7"/>
  <sheetViews>
    <sheetView rightToLeft="1" zoomScale="175" zoomScaleNormal="175" workbookViewId="0">
      <selection activeCell="D14" sqref="D14"/>
    </sheetView>
  </sheetViews>
  <sheetFormatPr defaultRowHeight="13.8" x14ac:dyDescent="0.25"/>
  <cols>
    <col min="1" max="1" width="13.3984375" bestFit="1" customWidth="1"/>
    <col min="2" max="2" width="11.5" bestFit="1" customWidth="1"/>
    <col min="3" max="3" width="11.796875" customWidth="1"/>
    <col min="5" max="5" width="23.5" bestFit="1" customWidth="1"/>
  </cols>
  <sheetData>
    <row r="2" spans="1:5" x14ac:dyDescent="0.25">
      <c r="A2" s="39" t="s">
        <v>164</v>
      </c>
      <c r="B2" s="39" t="s">
        <v>165</v>
      </c>
      <c r="C2" s="39" t="s">
        <v>134</v>
      </c>
      <c r="D2" s="39" t="s">
        <v>166</v>
      </c>
    </row>
    <row r="3" spans="1:5" x14ac:dyDescent="0.25">
      <c r="A3" t="s">
        <v>167</v>
      </c>
      <c r="B3" t="s">
        <v>220</v>
      </c>
      <c r="C3" s="188">
        <v>45553</v>
      </c>
      <c r="D3">
        <v>3.5</v>
      </c>
      <c r="E3" t="s">
        <v>168</v>
      </c>
    </row>
    <row r="4" spans="1:5" x14ac:dyDescent="0.25">
      <c r="A4" t="s">
        <v>228</v>
      </c>
      <c r="B4" t="s">
        <v>229</v>
      </c>
      <c r="C4" s="188">
        <v>38684</v>
      </c>
      <c r="D4">
        <v>500</v>
      </c>
      <c r="E4" t="s">
        <v>170</v>
      </c>
    </row>
    <row r="5" spans="1:5" x14ac:dyDescent="0.25">
      <c r="A5" t="s">
        <v>223</v>
      </c>
      <c r="B5" t="s">
        <v>222</v>
      </c>
      <c r="C5" s="188">
        <v>32447</v>
      </c>
      <c r="D5">
        <v>2.5</v>
      </c>
      <c r="E5" t="s">
        <v>224</v>
      </c>
    </row>
    <row r="6" spans="1:5" x14ac:dyDescent="0.25">
      <c r="A6" t="s">
        <v>226</v>
      </c>
      <c r="B6" t="s">
        <v>227</v>
      </c>
      <c r="C6" s="188">
        <v>26689</v>
      </c>
      <c r="D6">
        <v>2</v>
      </c>
      <c r="E6">
        <v>350</v>
      </c>
    </row>
    <row r="7" spans="1:5" x14ac:dyDescent="0.25">
      <c r="A7" t="s">
        <v>167</v>
      </c>
      <c r="B7" t="s">
        <v>221</v>
      </c>
      <c r="C7" s="188">
        <v>19374</v>
      </c>
      <c r="D7" s="212">
        <v>1</v>
      </c>
      <c r="E7" t="s">
        <v>225</v>
      </c>
    </row>
  </sheetData>
  <autoFilter ref="A2:F7" xr:uid="{3056B9E0-6524-4EBC-9BE5-F818961ABBE2}">
    <sortState xmlns:xlrd2="http://schemas.microsoft.com/office/spreadsheetml/2017/richdata2" ref="A3:F7">
      <sortCondition descending="1" ref="C2:C7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09765625" customWidth="1"/>
    <col min="3" max="3" width="13" bestFit="1" customWidth="1"/>
    <col min="4" max="4" width="10.5" bestFit="1" customWidth="1"/>
    <col min="5" max="5" width="9.3984375" bestFit="1" customWidth="1"/>
    <col min="6" max="6" width="11.59765625" bestFit="1" customWidth="1"/>
  </cols>
  <sheetData>
    <row r="1" spans="2:10" ht="4.5" customHeight="1" thickBot="1" x14ac:dyDescent="0.3"/>
    <row r="2" spans="2:10" ht="14.4" thickBot="1" x14ac:dyDescent="0.3">
      <c r="B2" s="293" t="s">
        <v>118</v>
      </c>
      <c r="C2" s="294"/>
      <c r="D2" s="294"/>
      <c r="E2" s="294"/>
      <c r="F2" s="295"/>
    </row>
    <row r="3" spans="2:10" ht="14.4" thickBot="1" x14ac:dyDescent="0.3">
      <c r="B3" s="152" t="s">
        <v>47</v>
      </c>
      <c r="C3" s="296" t="s">
        <v>42</v>
      </c>
      <c r="D3" s="297"/>
      <c r="E3" s="296" t="s">
        <v>100</v>
      </c>
      <c r="F3" s="298"/>
    </row>
    <row r="4" spans="2:10" x14ac:dyDescent="0.25">
      <c r="B4" s="167" t="s">
        <v>101</v>
      </c>
      <c r="C4" s="310">
        <v>0</v>
      </c>
      <c r="D4" s="311"/>
      <c r="E4" s="310">
        <v>0</v>
      </c>
      <c r="F4" s="312"/>
    </row>
    <row r="5" spans="2:10" x14ac:dyDescent="0.25">
      <c r="B5" s="172" t="s">
        <v>102</v>
      </c>
      <c r="C5" s="310">
        <v>140000</v>
      </c>
      <c r="D5" s="311"/>
      <c r="E5" s="310">
        <f>6000*2</f>
        <v>12000</v>
      </c>
      <c r="F5" s="312"/>
    </row>
    <row r="6" spans="2:10" ht="27.6" x14ac:dyDescent="0.25">
      <c r="B6" s="172" t="s">
        <v>114</v>
      </c>
      <c r="C6" s="310">
        <f>46500*7</f>
        <v>325500</v>
      </c>
      <c r="D6" s="311"/>
      <c r="E6" s="310">
        <v>0</v>
      </c>
      <c r="F6" s="312"/>
    </row>
    <row r="7" spans="2:10" x14ac:dyDescent="0.25">
      <c r="B7" s="172" t="s">
        <v>103</v>
      </c>
      <c r="C7" s="310">
        <f>13000*7</f>
        <v>91000</v>
      </c>
      <c r="D7" s="311"/>
      <c r="E7" s="310">
        <f>4000*7</f>
        <v>28000</v>
      </c>
      <c r="F7" s="312"/>
    </row>
    <row r="8" spans="2:10" ht="14.4" thickBot="1" x14ac:dyDescent="0.3">
      <c r="B8" s="158" t="s">
        <v>104</v>
      </c>
      <c r="C8" s="310">
        <f>65000*7</f>
        <v>455000</v>
      </c>
      <c r="D8" s="311"/>
      <c r="E8" s="310">
        <v>50000</v>
      </c>
      <c r="F8" s="312"/>
      <c r="J8" t="s">
        <v>162</v>
      </c>
    </row>
    <row r="9" spans="2:10" ht="14.4" thickBot="1" x14ac:dyDescent="0.3">
      <c r="B9" s="293" t="s">
        <v>117</v>
      </c>
      <c r="C9" s="294"/>
      <c r="D9" s="294"/>
      <c r="E9" s="294"/>
      <c r="F9" s="295"/>
      <c r="J9" t="s">
        <v>163</v>
      </c>
    </row>
    <row r="10" spans="2:10" ht="16.2" thickBot="1" x14ac:dyDescent="0.3">
      <c r="B10" s="153" t="s">
        <v>112</v>
      </c>
      <c r="C10" s="154" t="s">
        <v>110</v>
      </c>
      <c r="D10" s="155" t="s">
        <v>107</v>
      </c>
      <c r="E10" s="156" t="s">
        <v>108</v>
      </c>
      <c r="F10" s="157" t="s">
        <v>109</v>
      </c>
    </row>
    <row r="11" spans="2:10" x14ac:dyDescent="0.25">
      <c r="B11" s="167" t="s">
        <v>101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102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105</v>
      </c>
      <c r="C13" s="302" t="s">
        <v>111</v>
      </c>
      <c r="D13" s="302"/>
      <c r="E13" s="302"/>
      <c r="F13" s="303"/>
    </row>
    <row r="14" spans="2:10" x14ac:dyDescent="0.25">
      <c r="B14" s="182" t="s">
        <v>103</v>
      </c>
      <c r="C14" s="302" t="s">
        <v>113</v>
      </c>
      <c r="D14" s="302"/>
      <c r="E14" s="302"/>
      <c r="F14" s="303"/>
    </row>
    <row r="15" spans="2:10" ht="14.4" thickBot="1" x14ac:dyDescent="0.3">
      <c r="B15" s="158" t="s">
        <v>104</v>
      </c>
      <c r="C15" s="304" t="s">
        <v>115</v>
      </c>
      <c r="D15" s="305"/>
      <c r="E15" s="305"/>
      <c r="F15" s="306"/>
    </row>
    <row r="16" spans="2:10" ht="14.4" thickBot="1" x14ac:dyDescent="0.3"/>
    <row r="17" spans="2:6" ht="14.4" thickBot="1" x14ac:dyDescent="0.3">
      <c r="B17" s="293" t="s">
        <v>99</v>
      </c>
      <c r="C17" s="294"/>
      <c r="D17" s="294"/>
      <c r="E17" s="294"/>
      <c r="F17" s="295"/>
    </row>
    <row r="18" spans="2:6" ht="14.4" thickBot="1" x14ac:dyDescent="0.3">
      <c r="B18" s="152" t="s">
        <v>106</v>
      </c>
      <c r="C18" s="296" t="s">
        <v>42</v>
      </c>
      <c r="D18" s="297"/>
      <c r="E18" s="296" t="s">
        <v>100</v>
      </c>
      <c r="F18" s="298"/>
    </row>
    <row r="19" spans="2:6" x14ac:dyDescent="0.25">
      <c r="B19" s="167" t="s">
        <v>101</v>
      </c>
      <c r="C19" s="307">
        <v>0</v>
      </c>
      <c r="D19" s="308"/>
      <c r="E19" s="307">
        <v>0</v>
      </c>
      <c r="F19" s="309"/>
    </row>
    <row r="20" spans="2:6" x14ac:dyDescent="0.25">
      <c r="B20" s="172" t="s">
        <v>102</v>
      </c>
      <c r="C20" s="324">
        <v>70000</v>
      </c>
      <c r="D20" s="325"/>
      <c r="E20" s="326">
        <f>6000*7</f>
        <v>42000</v>
      </c>
      <c r="F20" s="327"/>
    </row>
    <row r="21" spans="2:6" x14ac:dyDescent="0.25">
      <c r="B21" s="176" t="s">
        <v>105</v>
      </c>
      <c r="C21" s="324">
        <f>46500*7</f>
        <v>325500</v>
      </c>
      <c r="D21" s="325"/>
      <c r="E21" s="324">
        <v>0</v>
      </c>
      <c r="F21" s="328"/>
    </row>
    <row r="22" spans="2:6" x14ac:dyDescent="0.25">
      <c r="B22" s="172" t="s">
        <v>103</v>
      </c>
      <c r="C22" s="324">
        <f>13000*7</f>
        <v>91000</v>
      </c>
      <c r="D22" s="325"/>
      <c r="E22" s="324">
        <f>4000*7</f>
        <v>28000</v>
      </c>
      <c r="F22" s="328"/>
    </row>
    <row r="23" spans="2:6" ht="14.4" thickBot="1" x14ac:dyDescent="0.3">
      <c r="B23" s="158" t="s">
        <v>104</v>
      </c>
      <c r="C23" s="299">
        <f>65000*7</f>
        <v>455000</v>
      </c>
      <c r="D23" s="300"/>
      <c r="E23" s="299">
        <f>7000*7</f>
        <v>49000</v>
      </c>
      <c r="F23" s="301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112</v>
      </c>
      <c r="C25" s="154" t="s">
        <v>110</v>
      </c>
      <c r="D25" s="155" t="s">
        <v>107</v>
      </c>
      <c r="E25" s="156" t="s">
        <v>108</v>
      </c>
      <c r="F25" s="157" t="s">
        <v>109</v>
      </c>
    </row>
    <row r="26" spans="2:6" x14ac:dyDescent="0.25">
      <c r="B26" s="167" t="s">
        <v>101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102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105</v>
      </c>
      <c r="C28" s="322" t="s">
        <v>111</v>
      </c>
      <c r="D28" s="322"/>
      <c r="E28" s="322"/>
      <c r="F28" s="323"/>
    </row>
    <row r="29" spans="2:6" x14ac:dyDescent="0.25">
      <c r="B29" s="172" t="s">
        <v>103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104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293" t="s">
        <v>116</v>
      </c>
      <c r="C35" s="294"/>
      <c r="D35" s="294"/>
      <c r="E35" s="294"/>
      <c r="F35" s="295"/>
    </row>
    <row r="36" spans="2:6" ht="14.4" thickBot="1" x14ac:dyDescent="0.3">
      <c r="B36" s="152" t="s">
        <v>119</v>
      </c>
      <c r="C36" s="296" t="s">
        <v>42</v>
      </c>
      <c r="D36" s="297"/>
      <c r="E36" s="296" t="s">
        <v>100</v>
      </c>
      <c r="F36" s="298"/>
    </row>
    <row r="37" spans="2:6" x14ac:dyDescent="0.25">
      <c r="B37" s="167" t="s">
        <v>120</v>
      </c>
      <c r="C37" s="313" t="s">
        <v>123</v>
      </c>
      <c r="D37" s="314"/>
      <c r="E37" s="314"/>
      <c r="F37" s="315"/>
    </row>
    <row r="38" spans="2:6" x14ac:dyDescent="0.25">
      <c r="B38" s="172" t="s">
        <v>121</v>
      </c>
      <c r="C38" s="316" t="s">
        <v>122</v>
      </c>
      <c r="D38" s="317"/>
      <c r="E38" s="317"/>
      <c r="F38" s="318"/>
    </row>
    <row r="39" spans="2:6" x14ac:dyDescent="0.25">
      <c r="B39" s="172" t="s">
        <v>124</v>
      </c>
      <c r="C39" s="316" t="s">
        <v>125</v>
      </c>
      <c r="D39" s="317"/>
      <c r="E39" s="317"/>
      <c r="F39" s="318"/>
    </row>
    <row r="40" spans="2:6" ht="14.4" thickBot="1" x14ac:dyDescent="0.3">
      <c r="B40" s="158" t="s">
        <v>126</v>
      </c>
      <c r="C40" s="319" t="s">
        <v>127</v>
      </c>
      <c r="D40" s="320"/>
      <c r="E40" s="320"/>
      <c r="F40" s="321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169</v>
      </c>
      <c r="B2" t="s">
        <v>170</v>
      </c>
    </row>
    <row r="3" spans="1:14" x14ac:dyDescent="0.25">
      <c r="B3" t="s">
        <v>42</v>
      </c>
    </row>
    <row r="7" spans="1:14" x14ac:dyDescent="0.25">
      <c r="N7" t="s">
        <v>171</v>
      </c>
    </row>
    <row r="8" spans="1:14" x14ac:dyDescent="0.25">
      <c r="A8" t="s">
        <v>172</v>
      </c>
      <c r="N8" t="s">
        <v>173</v>
      </c>
    </row>
    <row r="9" spans="1:14" x14ac:dyDescent="0.25">
      <c r="A9" t="s">
        <v>174</v>
      </c>
      <c r="D9" s="213" t="s">
        <v>175</v>
      </c>
      <c r="E9" s="213"/>
      <c r="N9" t="s">
        <v>176</v>
      </c>
    </row>
    <row r="10" spans="1:14" x14ac:dyDescent="0.25">
      <c r="N10" t="s">
        <v>177</v>
      </c>
    </row>
    <row r="15" spans="1:14" x14ac:dyDescent="0.25">
      <c r="A15" t="s">
        <v>178</v>
      </c>
      <c r="B15" t="s">
        <v>179</v>
      </c>
    </row>
    <row r="19" spans="1:12" x14ac:dyDescent="0.25">
      <c r="A19" s="39" t="s">
        <v>180</v>
      </c>
      <c r="B19" s="39" t="s">
        <v>171</v>
      </c>
      <c r="C19" s="39" t="s">
        <v>78</v>
      </c>
      <c r="D19" s="39" t="s">
        <v>181</v>
      </c>
      <c r="E19" s="39" t="s">
        <v>182</v>
      </c>
      <c r="F19" s="39" t="s">
        <v>183</v>
      </c>
      <c r="G19" s="39" t="s">
        <v>21</v>
      </c>
      <c r="H19" s="39" t="s">
        <v>184</v>
      </c>
      <c r="I19" s="39" t="s">
        <v>185</v>
      </c>
      <c r="J19" s="39" t="s">
        <v>186</v>
      </c>
      <c r="K19" s="39" t="s">
        <v>187</v>
      </c>
      <c r="L19" s="39" t="s">
        <v>188</v>
      </c>
    </row>
    <row r="20" spans="1:12" x14ac:dyDescent="0.25">
      <c r="A20" t="s">
        <v>189</v>
      </c>
      <c r="H20" s="149">
        <f>'תחשיב לפי שווי שומה (2)'!B8</f>
        <v>10000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190</v>
      </c>
      <c r="H21" s="150">
        <f>H20</f>
        <v>10000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191</v>
      </c>
      <c r="H22" s="150">
        <f>H21</f>
        <v>10000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192</v>
      </c>
      <c r="H23" s="150">
        <f>H22</f>
        <v>10000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193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schemas.microsoft.com/office/2006/metadata/properties"/>
    <ds:schemaRef ds:uri="http://www.w3.org/2000/xmlns/"/>
    <ds:schemaRef ds:uri="de4cbf29-ca6c-40b4-a23e-237704e7198a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e4cbf29-ca6c-40b4-a23e-237704e7198a"/>
    <ds:schemaRef ds:uri="d3dd30cb-74b0-41b5-8ba9-53159311cc2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2025-04-09T13:51:10Z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