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חיון ישראל - חצב/פרוייקט בדיקת התכנות/בדיקת התכנות/"/>
    </mc:Choice>
  </mc:AlternateContent>
  <xr:revisionPtr revIDLastSave="441" documentId="8_{E9A5D54E-385F-4F6C-AF2C-D62B03C85759}" xr6:coauthVersionLast="47" xr6:coauthVersionMax="47" xr10:uidLastSave="{624217A0-6687-4255-8F42-40B576BD8EE1}"/>
  <bookViews>
    <workbookView xWindow="-577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תבעות!$A$2:$F$5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0" l="1"/>
  <c r="X20" i="10" s="1"/>
  <c r="V12" i="10"/>
  <c r="L38" i="10"/>
  <c r="L32" i="10"/>
  <c r="L34" i="10" s="1"/>
  <c r="J32" i="10"/>
  <c r="J34" i="10" s="1"/>
  <c r="M80" i="3"/>
  <c r="A86" i="3"/>
  <c r="A83" i="3"/>
  <c r="D27" i="3"/>
  <c r="D22" i="3"/>
  <c r="B21" i="3"/>
  <c r="B25" i="3" s="1"/>
  <c r="D25" i="3" s="1"/>
  <c r="D20" i="3"/>
  <c r="D19" i="3"/>
  <c r="L19" i="5"/>
  <c r="L20" i="5" s="1"/>
  <c r="L22" i="5" s="1"/>
  <c r="M45" i="5"/>
  <c r="E98" i="5"/>
  <c r="E100" i="5"/>
  <c r="E101" i="5" s="1"/>
  <c r="E102" i="5" s="1"/>
  <c r="E92" i="5"/>
  <c r="C86" i="5"/>
  <c r="E87" i="5"/>
  <c r="E85" i="5"/>
  <c r="E84" i="5"/>
  <c r="E76" i="5"/>
  <c r="C74" i="5"/>
  <c r="E73" i="5"/>
  <c r="E72" i="5"/>
  <c r="E71" i="5"/>
  <c r="E70" i="5"/>
  <c r="E58" i="5"/>
  <c r="C56" i="5"/>
  <c r="E56" i="5" s="1"/>
  <c r="E55" i="5"/>
  <c r="C54" i="5"/>
  <c r="E54" i="5" s="1"/>
  <c r="E53" i="5"/>
  <c r="E52" i="5"/>
  <c r="B8" i="3"/>
  <c r="C32" i="5"/>
  <c r="C33" i="5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V16" i="10" l="1"/>
  <c r="V20" i="10" s="1"/>
  <c r="J16" i="10"/>
  <c r="J20" i="10" s="1"/>
  <c r="J40" i="10"/>
  <c r="L40" i="10"/>
  <c r="A89" i="3"/>
  <c r="A92" i="3" s="1"/>
  <c r="A94" i="3" s="1"/>
  <c r="D21" i="3"/>
  <c r="D26" i="3" s="1"/>
  <c r="D28" i="3" s="1"/>
  <c r="C90" i="5"/>
  <c r="E90" i="5" s="1"/>
  <c r="E86" i="5"/>
  <c r="C75" i="5"/>
  <c r="C77" i="5" s="1"/>
  <c r="E77" i="5" s="1"/>
  <c r="E79" i="5" s="1"/>
  <c r="E80" i="5" s="1"/>
  <c r="E57" i="5"/>
  <c r="E59" i="5" s="1"/>
  <c r="E61" i="5" s="1"/>
  <c r="L16" i="10"/>
  <c r="L20" i="10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1" i="4"/>
  <c r="E21" i="4"/>
  <c r="F21" i="4"/>
  <c r="G21" i="4"/>
  <c r="H21" i="4"/>
  <c r="I13" i="4"/>
  <c r="I21" i="4"/>
  <c r="E25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91" i="5" l="1"/>
  <c r="E93" i="5" s="1"/>
  <c r="E96" i="5" s="1"/>
  <c r="E103" i="5" s="1"/>
  <c r="E104" i="5" s="1"/>
  <c r="E105" i="5" s="1"/>
  <c r="C79" i="5"/>
  <c r="H23" i="9"/>
  <c r="J23" i="9" s="1"/>
  <c r="J22" i="9"/>
  <c r="D42" i="6"/>
  <c r="C35" i="6"/>
  <c r="D35" i="6" s="1"/>
  <c r="G22" i="4"/>
  <c r="I22" i="4"/>
  <c r="H22" i="4"/>
  <c r="D22" i="4"/>
  <c r="F22" i="4"/>
  <c r="E22" i="4"/>
  <c r="C15" i="6" l="1"/>
  <c r="D24" i="4"/>
  <c r="D9" i="6" l="1"/>
  <c r="S21" i="4" l="1"/>
  <c r="R21" i="4"/>
  <c r="Q21" i="4"/>
  <c r="P21" i="4"/>
  <c r="O21" i="4"/>
  <c r="N21" i="4"/>
  <c r="M21" i="4"/>
  <c r="L21" i="4"/>
  <c r="K21" i="4"/>
  <c r="J21" i="4"/>
  <c r="D10" i="3" l="1"/>
  <c r="D7" i="3"/>
  <c r="D6" i="3"/>
  <c r="D5" i="3"/>
  <c r="D4" i="3"/>
  <c r="B9" i="3" l="1"/>
  <c r="B11" i="3" l="1"/>
  <c r="D11" i="3" s="1"/>
  <c r="D13" i="3" s="1"/>
  <c r="S13" i="4"/>
  <c r="R13" i="4"/>
  <c r="Q13" i="4"/>
  <c r="O13" i="4"/>
  <c r="M13" i="4"/>
  <c r="L13" i="4"/>
  <c r="K13" i="4"/>
  <c r="J13" i="4"/>
  <c r="P13" i="4"/>
  <c r="N13" i="4"/>
  <c r="H24" i="3"/>
  <c r="H25" i="3" s="1"/>
  <c r="S22" i="4" l="1"/>
  <c r="R22" i="4"/>
  <c r="O22" i="4"/>
  <c r="P22" i="4"/>
  <c r="N22" i="4"/>
  <c r="Q22" i="4"/>
  <c r="M22" i="4"/>
  <c r="L22" i="4"/>
  <c r="K22" i="4"/>
  <c r="J22" i="4"/>
  <c r="E49" i="4"/>
  <c r="F48" i="4"/>
  <c r="F47" i="4"/>
  <c r="F43" i="4"/>
  <c r="E44" i="4"/>
  <c r="D44" i="4"/>
  <c r="F44" i="4" l="1"/>
  <c r="E51" i="4"/>
  <c r="F42" i="4"/>
  <c r="D49" i="4"/>
  <c r="F49" i="4" s="1"/>
  <c r="G12" i="6"/>
  <c r="G13" i="6" s="1"/>
  <c r="F51" i="4" l="1"/>
  <c r="D51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G11" i="6"/>
  <c r="I48" i="3"/>
  <c r="I49" i="3"/>
  <c r="F48" i="3"/>
  <c r="B55" i="3"/>
  <c r="D49" i="3"/>
  <c r="D50" i="3"/>
  <c r="F18" i="6"/>
  <c r="B56" i="3" l="1"/>
  <c r="D56" i="3" s="1"/>
  <c r="B4" i="6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1" i="4" l="1"/>
  <c r="D66" i="3"/>
  <c r="B65" i="3"/>
  <c r="B67" i="3" s="1"/>
  <c r="D67" i="3" s="1"/>
  <c r="D64" i="3"/>
  <c r="D63" i="3"/>
  <c r="D62" i="3"/>
  <c r="E29" i="4" l="1"/>
  <c r="D69" i="3"/>
  <c r="D70" i="3" s="1"/>
  <c r="E26" i="4"/>
  <c r="B69" i="3"/>
  <c r="E35" i="4"/>
  <c r="G18" i="6" l="1"/>
  <c r="E30" i="4"/>
  <c r="E32" i="4" s="1"/>
  <c r="E34" i="4" s="1"/>
  <c r="E36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<sst xmlns="http://schemas.openxmlformats.org/spreadsheetml/2006/main" count="447" uniqueCount="278">
  <si>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</si>
  <si>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</si>
  <si>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</si>
  <si>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</si>
  <si>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</si>
  <si>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</si>
  <si>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</si>
  <si>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</si>
  <si>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</si>
  <si>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</si>
  <si>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</si>
  <si>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</si>
  <si>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</si>
  <si>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</si>
  <si>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</si>
  <si>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</si>
  <si>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</si>
  <si>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</si>
  <si>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</si>
  <si>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</si>
  <si>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</si>
  <si>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</si>
  <si>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</si>
  <si>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</si>
  <si>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</si>
  <si>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</si>
  <si>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</si>
  <si>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</si>
  <si>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</si>
  <si>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</si>
  <si>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</si>
  <si>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</si>
  <si>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</si>
  <si>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</si>
  <si>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</si>
  <si>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</si>
  <si>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</si>
  <si>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</si>
  <si>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</si>
  <si>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</si>
  <si>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</si>
  <si>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</si>
  <si>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</si>
  <si>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</si>
  <si>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</si>
  <si>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</si>
  <si>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</si>
  <si>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</si>
  <si>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</si>
  <si>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</si>
  <si>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</si>
  <si>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</si>
  <si>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</si>
  <si>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</si>
  <si>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</si>
  <si>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</si>
  <si>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</si>
  <si>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</si>
  <si>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</si>
  <si>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</si>
  <si>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</si>
  <si>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</si>
  <si>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</si>
  <si>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</si>
  <si>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</si>
  <si>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</si>
  <si>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</si>
  <si>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</si>
  <si>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</si>
  <si>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</si>
  <si>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</si>
  <si>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</si>
  <si>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</si>
  <si>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</si>
  <si>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</si>
  <si>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</si>
  <si>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</si>
  <si>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</si>
  <si>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</si>
  <si>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</si>
  <si>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</si>
  <si>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</si>
  <si>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</si>
  <si>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</si>
  <si>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</si>
  <si>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</si>
  <si>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</si>
  <si>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</si>
  <si>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</si>
  <si>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</si>
  <si>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</si>
  <si>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</si>
  <si>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</si>
  <si>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</si>
  <si>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</si>
  <si>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</si>
  <si>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</si>
  <si>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</si>
  <si>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</si>
  <si>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</si>
  <si>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</si>
  <si>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</si>
  <si>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</si>
  <si>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</si>
  <si>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</si>
  <si>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</si>
  <si>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</si>
  <si>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</si>
  <si>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</si>
  <si>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</si>
  <si>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</si>
  <si>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</si>
  <si>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</si>
  <si>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</si>
  <si>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</si>
  <si>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</si>
  <si>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</si>
  <si>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</si>
  <si>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</si>
  <si>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</si>
  <si>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</si>
  <si>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</si>
  <si>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</si>
  <si>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</si>
  <si>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</si>
  <si>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</si>
  <si>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</si>
  <si>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</si>
  <si>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</si>
  <si>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</si>
  <si>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</si>
  <si>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</si>
  <si>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</si>
  <si>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</si>
  <si>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</si>
  <si>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</si>
  <si>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</si>
  <si>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</si>
  <si>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</si>
  <si>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</si>
  <si>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</si>
  <si>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</si>
  <si>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</si>
  <si>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</si>
  <si>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</si>
  <si>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</si>
  <si>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</si>
  <si>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</si>
  <si>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</si>
  <si>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</si>
  <si>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</si>
  <si>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</si>
  <si>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</si>
  <si>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</si>
  <si>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</si>
  <si>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</si>
  <si>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</si>
  <si>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</si>
  <si>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</si>
  <si>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</si>
  <si>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</si>
  <si>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</si>
  <si>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</si>
  <si>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</si>
  <si>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</si>
  <si>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</si>
  <si>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</si>
  <si>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</si>
  <si>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</si>
  <si>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</si>
  <si>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</si>
  <si>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</si>
  <si>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</si>
  <si>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</si>
  <si>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</si>
  <si>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</si>
  <si>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</si>
  <si>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</si>
  <si>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</si>
  <si>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</si>
  <si>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</si>
  <si>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</si>
  <si>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</si>
  <si>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</si>
  <si>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</si>
  <si>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</si>
  <si>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</si>
  <si>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</si>
  <si>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</si>
  <si>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</si>
  <si>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</si>
  <si>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</si>
  <si>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</si>
  <si>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</si>
  <si>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</si>
  <si>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</si>
  <si>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</si>
  <si>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</si>
  <si>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</si>
  <si>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</si>
  <si>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</si>
  <si>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</si>
  <si>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</si>
  <si>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</si>
  <si>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</si>
  <si>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</si>
  <si>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</si>
  <si>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</si>
  <si>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</si>
  <si>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</si>
  <si>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</si>
  <si>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</si>
  <si>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</si>
  <si>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</si>
  <si>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ד/693</t>
  </si>
  <si>
    <t>בריכה</t>
  </si>
  <si>
    <t>את וועדה</t>
  </si>
  <si>
    <t>59/</t>
  </si>
  <si>
    <t>616-0770735</t>
  </si>
  <si>
    <t>מנהל תכנון</t>
  </si>
  <si>
    <t>מבנה 1 - בית מגורים ראשון</t>
  </si>
  <si>
    <t>מבנה 2 - בית מגורים שני</t>
  </si>
  <si>
    <t>מבנה 3 - בית מגורים שלישי</t>
  </si>
  <si>
    <t>מבנה 4 - סככה חקלאית</t>
  </si>
  <si>
    <t>מבנה 5 - סככה חקלאית</t>
  </si>
  <si>
    <t>מבנה 6- עובדים זרים</t>
  </si>
  <si>
    <t>היתר שנת 75</t>
  </si>
  <si>
    <t>היתר שנת 96</t>
  </si>
  <si>
    <t>היתר שנת 89 - חממה</t>
  </si>
  <si>
    <t>מועד קובע</t>
  </si>
  <si>
    <t>שווי הרחבה</t>
  </si>
  <si>
    <t>מקדם זמן</t>
  </si>
  <si>
    <t>שווי מתואם</t>
  </si>
  <si>
    <t>מס"ד</t>
  </si>
  <si>
    <t>גוש חלקה</t>
  </si>
  <si>
    <t>יום מכירה</t>
  </si>
  <si>
    <t>תמורה מוצהרת בש"ח</t>
  </si>
  <si>
    <t>בניכוי יזמות</t>
  </si>
  <si>
    <t>מהות</t>
  </si>
  <si>
    <t>חלק נמכר</t>
  </si>
  <si>
    <t>ישוב</t>
  </si>
  <si>
    <t>שטח</t>
  </si>
  <si>
    <t>תרומת הבנוי</t>
  </si>
  <si>
    <t>יתרת קרקע</t>
  </si>
  <si>
    <t>002554-0037</t>
  </si>
  <si>
    <t>תלמי יחיאל</t>
  </si>
  <si>
    <t>ניתוח שטח אקו' מס"ד 2</t>
  </si>
  <si>
    <t>שטח מגרש</t>
  </si>
  <si>
    <t>ממד</t>
  </si>
  <si>
    <t>מרתף</t>
  </si>
  <si>
    <t>סה"כ שטח אקו'</t>
  </si>
  <si>
    <t>שווי מגרש</t>
  </si>
  <si>
    <t>שווי מ"ר</t>
  </si>
  <si>
    <t>שווי קרקע ללא מעמ</t>
  </si>
  <si>
    <t>כולל מע"מ</t>
  </si>
  <si>
    <t>שווי מ"ר נחלה</t>
  </si>
  <si>
    <t>שווי מ"ר הרחבה</t>
  </si>
  <si>
    <t>חלקי 0.85</t>
  </si>
  <si>
    <t>מקדם התאמה לנחלה</t>
  </si>
  <si>
    <t>שווי לנחלה</t>
  </si>
  <si>
    <t>שווי קרקע</t>
  </si>
  <si>
    <t>בתוספת מע"מ</t>
  </si>
  <si>
    <t>שטח עסקה</t>
  </si>
  <si>
    <t>שומת היטל השבחה ישראל ארביב</t>
  </si>
  <si>
    <t>מפרט כספי דוד כחלון</t>
  </si>
  <si>
    <t>שווי מתואם הרחבה</t>
  </si>
  <si>
    <t>עסקת דמי רכישה</t>
  </si>
  <si>
    <t>נתוני היצע</t>
  </si>
  <si>
    <t>5 שנים</t>
  </si>
  <si>
    <t>מצב קודם</t>
  </si>
  <si>
    <t>מצב חדש</t>
  </si>
  <si>
    <t>שווי היטל</t>
  </si>
  <si>
    <t>סיכום עלויות הסדרת בית שלישי קיים</t>
  </si>
  <si>
    <t>דמי היוון 3.75%</t>
  </si>
  <si>
    <t>הסדרת בית קיים לא כולל מחסן</t>
  </si>
  <si>
    <t>הסדרת בית קיים  כולל מחסן</t>
  </si>
  <si>
    <t>חשיפה לדמי שימוש</t>
  </si>
  <si>
    <t xml:space="preserve">פיצול מגרש ריק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</si>
</sst>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5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0" xfId="2" applyNumberFormat="1" applyFont="1" applyBorder="1"/>
    <xf numFmtId="0" fontId="0" fillId="0" borderId="33" xfId="0" applyBorder="1"/>
    <xf numFmtId="0" fontId="0" fillId="0" borderId="34" xfId="0" applyBorder="1"/>
    <xf numFmtId="165" fontId="0" fillId="0" borderId="34" xfId="1" applyNumberFormat="1" applyFont="1" applyBorder="1"/>
    <xf numFmtId="0" fontId="0" fillId="0" borderId="35" xfId="0" applyBorder="1"/>
    <xf numFmtId="164" fontId="6" fillId="0" borderId="19" xfId="2" applyNumberFormat="1" applyFont="1" applyBorder="1"/>
    <xf numFmtId="0" fontId="20" fillId="13" borderId="72" xfId="0" applyFont="1" applyFill="1" applyBorder="1" applyAlignment="1">
      <alignment horizontal="center" vertical="center" wrapText="1"/>
    </xf>
    <xf numFmtId="0" fontId="20" fillId="13" borderId="73" xfId="0" applyFont="1" applyFill="1" applyBorder="1" applyAlignment="1">
      <alignment horizontal="center" vertical="center" wrapText="1"/>
    </xf>
    <xf numFmtId="0" fontId="20" fillId="13" borderId="36" xfId="0" applyFont="1" applyFill="1" applyBorder="1" applyAlignment="1">
      <alignment horizontal="center" vertical="center" wrapText="1"/>
    </xf>
    <xf numFmtId="0" fontId="21" fillId="0" borderId="72" xfId="0" applyFont="1" applyBorder="1" applyAlignment="1">
      <alignment horizontal="center" wrapText="1"/>
    </xf>
    <xf numFmtId="14" fontId="21" fillId="0" borderId="72" xfId="0" applyNumberFormat="1" applyFont="1" applyBorder="1" applyAlignment="1">
      <alignment horizontal="center" wrapText="1"/>
    </xf>
    <xf numFmtId="3" fontId="21" fillId="0" borderId="72" xfId="0" applyNumberFormat="1" applyFont="1" applyBorder="1" applyAlignment="1">
      <alignment horizontal="center" wrapText="1"/>
    </xf>
    <xf numFmtId="0" fontId="20" fillId="0" borderId="0" xfId="0" applyFont="1"/>
    <xf numFmtId="0" fontId="21" fillId="0" borderId="0" xfId="0" applyFont="1"/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43" fontId="6" fillId="0" borderId="13" xfId="1" applyFont="1" applyBorder="1"/>
    <xf numFmtId="164" fontId="0" fillId="0" borderId="22" xfId="2" applyNumberFormat="1" applyFont="1" applyBorder="1" applyAlignment="1">
      <alignment horizontal="center"/>
    </xf>
    <xf numFmtId="10" fontId="6" fillId="0" borderId="60" xfId="0" applyNumberFormat="1" applyFont="1" applyBorder="1"/>
    <xf numFmtId="14" fontId="6" fillId="0" borderId="19" xfId="0" applyNumberFormat="1" applyFont="1" applyBorder="1"/>
    <xf numFmtId="17" fontId="6" fillId="0" borderId="19" xfId="0" applyNumberFormat="1" applyFont="1" applyBorder="1"/>
    <xf numFmtId="0" fontId="6" fillId="0" borderId="19" xfId="0" applyFont="1" applyBorder="1"/>
    <xf numFmtId="0" fontId="16" fillId="0" borderId="1" xfId="0" applyFont="1" applyBorder="1"/>
    <xf numFmtId="0" fontId="8" fillId="0" borderId="34" xfId="0" applyFont="1" applyBorder="1"/>
    <xf numFmtId="165" fontId="8" fillId="0" borderId="34" xfId="1" applyNumberFormat="1" applyFont="1" applyBorder="1"/>
    <xf numFmtId="165" fontId="6" fillId="0" borderId="48" xfId="1" applyNumberFormat="1" applyFont="1" applyBorder="1"/>
    <xf numFmtId="14" fontId="6" fillId="0" borderId="19" xfId="1" applyNumberFormat="1" applyFont="1" applyBorder="1"/>
    <xf numFmtId="164" fontId="6" fillId="0" borderId="19" xfId="0" applyNumberFormat="1" applyFont="1" applyBorder="1"/>
    <xf numFmtId="0" fontId="6" fillId="15" borderId="60" xfId="0" applyFont="1" applyFill="1" applyBorder="1"/>
    <xf numFmtId="165" fontId="6" fillId="15" borderId="48" xfId="1" applyNumberFormat="1" applyFont="1" applyFill="1" applyBorder="1"/>
    <xf numFmtId="165" fontId="6" fillId="15" borderId="19" xfId="1" applyNumberFormat="1" applyFont="1" applyFill="1" applyBorder="1"/>
    <xf numFmtId="9" fontId="6" fillId="0" borderId="10" xfId="3" applyFont="1" applyBorder="1"/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74" xfId="2" applyNumberFormat="1" applyFont="1" applyBorder="1" applyAlignment="1">
      <alignment horizontal="center" vertical="center"/>
    </xf>
    <xf numFmtId="164" fontId="0" fillId="0" borderId="25" xfId="2" applyNumberFormat="1" applyFont="1" applyBorder="1" applyAlignment="1">
      <alignment horizontal="center" vertical="center"/>
    </xf>
    <xf numFmtId="164" fontId="0" fillId="0" borderId="31" xfId="2" applyNumberFormat="1" applyFont="1" applyBorder="1" applyAlignment="1">
      <alignment horizontal="center" vertical="center"/>
    </xf>
    <xf numFmtId="164" fontId="0" fillId="0" borderId="21" xfId="2" applyNumberFormat="1" applyFont="1" applyBorder="1" applyAlignment="1">
      <alignment horizontal="center" vertical="center"/>
    </xf>
    <xf numFmtId="0" fontId="6" fillId="11" borderId="60" xfId="0" applyFont="1" applyFill="1" applyBorder="1" applyAlignment="1">
      <alignment horizontal="center"/>
    </xf>
    <xf numFmtId="0" fontId="6" fillId="11" borderId="48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6" fillId="0" borderId="7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14" borderId="60" xfId="0" applyFont="1" applyFill="1" applyBorder="1" applyAlignment="1">
      <alignment horizontal="center"/>
    </xf>
    <xf numFmtId="0" fontId="6" fillId="14" borderId="48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0" fontId="21" fillId="0" borderId="0" xfId="0" applyFont="1" applyAlignment="1">
      <alignment wrapText="1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625554</xdr:colOff>
      <xdr:row>68</xdr:row>
      <xdr:rowOff>56465</xdr:rowOff>
    </xdr:from>
    <xdr:to>
      <xdr:col>11</xdr:col>
      <xdr:colOff>724869</xdr:colOff>
      <xdr:row>88</xdr:row>
      <xdr:rowOff>20955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61E73BC-2DC0-C78A-9611-7D4D74499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969071" y="11143565"/>
          <a:ext cx="5208525" cy="3410635"/>
        </a:xfrm>
        <a:prstGeom prst="rect">
          <a:avLst/>
        </a:prstGeom>
      </xdr:spPr>
    </xdr:pic>
    <xdr:clientData/>
  </xdr:twoCellAnchor>
  <xdr:twoCellAnchor editAs="oneCell">
    <xdr:from>
      <xdr:col>3</xdr:col>
      <xdr:colOff>212170</xdr:colOff>
      <xdr:row>19</xdr:row>
      <xdr:rowOff>87516</xdr:rowOff>
    </xdr:from>
    <xdr:to>
      <xdr:col>7</xdr:col>
      <xdr:colOff>552451</xdr:colOff>
      <xdr:row>38</xdr:row>
      <xdr:rowOff>16090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5DD407E7-A1E3-EC60-75FB-0FA0D45DC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9946011" y="2552110"/>
          <a:ext cx="3242787" cy="3247322"/>
        </a:xfrm>
        <a:prstGeom prst="rect">
          <a:avLst/>
        </a:prstGeom>
      </xdr:spPr>
    </xdr:pic>
    <xdr:clientData/>
  </xdr:twoCellAnchor>
  <xdr:oneCellAnchor>
    <xdr:from>
      <xdr:col>12</xdr:col>
      <xdr:colOff>335279</xdr:colOff>
      <xdr:row>13</xdr:row>
      <xdr:rowOff>170859</xdr:rowOff>
    </xdr:from>
    <xdr:ext cx="4597250" cy="4189686"/>
    <xdr:pic>
      <xdr:nvPicPr>
        <xdr:cNvPr id="6" name="תמונה 5">
          <a:extLst>
            <a:ext uri="{FF2B5EF4-FFF2-40B4-BE49-F238E27FC236}">
              <a16:creationId xmlns:a16="http://schemas.microsoft.com/office/drawing/2014/main" id="{EAC99110-802A-4724-896D-214541695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5766376" y="8851944"/>
          <a:ext cx="4597250" cy="4189686"/>
        </a:xfrm>
        <a:prstGeom prst="rect">
          <a:avLst/>
        </a:prstGeom>
      </xdr:spPr>
    </xdr:pic>
    <xdr:clientData/>
  </xdr:oneCellAnchor>
  <xdr:twoCellAnchor editAs="oneCell">
    <xdr:from>
      <xdr:col>6</xdr:col>
      <xdr:colOff>249555</xdr:colOff>
      <xdr:row>47</xdr:row>
      <xdr:rowOff>12176</xdr:rowOff>
    </xdr:from>
    <xdr:to>
      <xdr:col>9</xdr:col>
      <xdr:colOff>627699</xdr:colOff>
      <xdr:row>64</xdr:row>
      <xdr:rowOff>0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E254141B-6451-1268-C391-8F32D17A7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18260801" y="8575151"/>
          <a:ext cx="3073719" cy="29215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114</xdr:row>
      <xdr:rowOff>10426</xdr:rowOff>
    </xdr:from>
    <xdr:to>
      <xdr:col>12</xdr:col>
      <xdr:colOff>53992</xdr:colOff>
      <xdr:row>137</xdr:row>
      <xdr:rowOff>101448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5D89284F-E064-E237-268E-84D00FC07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16148458" y="20203426"/>
          <a:ext cx="5435617" cy="40381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15" zoomScale="70" zoomScaleNormal="70" workbookViewId="0">
      <selection activeCell="E39" sqref="E39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43</v>
      </c>
      <c r="B2" s="76">
        <f>'מ"ר אקו'' נחלה'!I14</f>
        <v>1002.5</v>
      </c>
      <c r="K2" s="1"/>
    </row>
    <row r="3" spans="1:11" x14ac:dyDescent="0.35">
      <c r="A3" s="1" t="s">
        <v>17</v>
      </c>
      <c r="B3" s="76">
        <f>'מ"ר אקו'' נחלה'!D14</f>
        <v>952.5</v>
      </c>
      <c r="K3" s="1"/>
    </row>
    <row r="4" spans="1:11" x14ac:dyDescent="0.35">
      <c r="A4" s="1" t="s">
        <v>90</v>
      </c>
      <c r="B4" s="76">
        <f>'מ"ר אקו'' נחלה'!D28</f>
        <v>146.36268789630813</v>
      </c>
      <c r="K4" s="1"/>
    </row>
    <row r="5" spans="1:11" x14ac:dyDescent="0.35">
      <c r="A5" s="1" t="s">
        <v>196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55</v>
      </c>
      <c r="B7" s="1">
        <f>'מ"ר אקו'' נחלה'!D57</f>
        <v>280.3</v>
      </c>
      <c r="C7" s="1" t="s">
        <v>56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8000</v>
      </c>
      <c r="C8" s="1" t="s">
        <v>83</v>
      </c>
      <c r="D8" s="5">
        <v>2500</v>
      </c>
      <c r="F8" s="75"/>
      <c r="K8" s="1"/>
    </row>
    <row r="9" spans="1:11" x14ac:dyDescent="0.35">
      <c r="A9" s="3"/>
      <c r="B9" s="5"/>
      <c r="C9" s="1" t="s">
        <v>91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65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241875</v>
      </c>
      <c r="G11" s="75">
        <f>'מ"ר אקו'' נחלה'!D71*-3.75%</f>
        <v>-6562.5</v>
      </c>
      <c r="H11" s="88">
        <f>SUM(F11:G11)</f>
        <v>235312.5</v>
      </c>
      <c r="I11" s="9"/>
      <c r="J11" s="75"/>
    </row>
    <row r="12" spans="1:11" x14ac:dyDescent="0.35">
      <c r="A12" s="82" t="s">
        <v>61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485549.99999999994</v>
      </c>
      <c r="G12" s="75">
        <f>-'מ"ר אקו'' נחלה'!D58*C12</f>
        <v>-29250</v>
      </c>
      <c r="H12" s="6">
        <f>SUM(F12:G12)</f>
        <v>456299.99999999994</v>
      </c>
      <c r="J12" s="87"/>
    </row>
    <row r="13" spans="1:11" x14ac:dyDescent="0.35">
      <c r="A13" s="82" t="s">
        <v>62</v>
      </c>
      <c r="B13" s="113">
        <f>B7-B12</f>
        <v>72.800000000000011</v>
      </c>
      <c r="C13" s="114">
        <v>0.33</v>
      </c>
      <c r="D13" s="82">
        <f t="shared" si="0"/>
        <v>24.024000000000004</v>
      </c>
      <c r="E13" s="82">
        <v>1</v>
      </c>
      <c r="F13" s="84">
        <f>D13*$B$8*E13</f>
        <v>192192.00000000003</v>
      </c>
      <c r="G13" s="87">
        <f>G12*53/245</f>
        <v>-6327.5510204081629</v>
      </c>
      <c r="H13" s="6">
        <f>SUM(F13:G13)</f>
        <v>185864.44897959186</v>
      </c>
      <c r="I13" s="9"/>
      <c r="J13" s="75"/>
    </row>
    <row r="14" spans="1:11" ht="21" x14ac:dyDescent="0.4">
      <c r="A14" s="110" t="s">
        <v>63</v>
      </c>
      <c r="B14" s="111">
        <f>SUM(B12:B13)</f>
        <v>280.3</v>
      </c>
      <c r="C14" s="112"/>
      <c r="D14" s="112"/>
      <c r="E14" s="112"/>
      <c r="F14" s="112">
        <f>SUM(F12:F13)</f>
        <v>677742</v>
      </c>
      <c r="G14" s="115"/>
      <c r="H14" s="89">
        <f>SUM(H12:H13)</f>
        <v>642164.44897959183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705500</v>
      </c>
      <c r="G15" s="9"/>
      <c r="J15" s="86"/>
    </row>
    <row r="16" spans="1:11" ht="21" x14ac:dyDescent="0.4">
      <c r="A16" s="77" t="s">
        <v>5</v>
      </c>
      <c r="B16" s="81">
        <f>B3+B4-B5</f>
        <v>1098.8626878963082</v>
      </c>
      <c r="C16" s="80">
        <v>0.33</v>
      </c>
      <c r="D16" s="77">
        <f t="shared" si="0"/>
        <v>362.62468700578171</v>
      </c>
      <c r="E16" s="77">
        <v>1</v>
      </c>
      <c r="F16" s="79">
        <f>D16*$B$8*E16</f>
        <v>2900997.4960462535</v>
      </c>
      <c r="G16" s="75">
        <f>-'מ"ר אקו'' נחלה'!D15*C16</f>
        <v>-81510</v>
      </c>
      <c r="H16" s="88">
        <f>SUM(F16:G16)</f>
        <v>2819487.4960462535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5096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546</v>
      </c>
      <c r="G20" s="9"/>
      <c r="I20" s="6"/>
      <c r="J20" s="9"/>
    </row>
    <row r="21" spans="1:10" ht="21" x14ac:dyDescent="0.4">
      <c r="A21" s="1" t="s">
        <v>69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44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2184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45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46</v>
      </c>
      <c r="B27" s="85"/>
      <c r="C27" s="8"/>
      <c r="D27" s="185"/>
      <c r="E27" s="185"/>
      <c r="F27" s="5"/>
      <c r="I27" s="75"/>
    </row>
    <row r="29" spans="1:10" x14ac:dyDescent="0.35">
      <c r="A29" s="2" t="s">
        <v>156</v>
      </c>
      <c r="C29" s="75"/>
    </row>
    <row r="30" spans="1:10" x14ac:dyDescent="0.35">
      <c r="A30" s="2"/>
      <c r="B30" s="2" t="s">
        <v>158</v>
      </c>
      <c r="C30" s="2" t="s">
        <v>21</v>
      </c>
      <c r="D30" s="2" t="s">
        <v>157</v>
      </c>
    </row>
    <row r="31" spans="1:10" x14ac:dyDescent="0.35">
      <c r="A31" s="1" t="s">
        <v>154</v>
      </c>
      <c r="B31" s="5">
        <f>'מ"ר אקו'' נחלה'!D57*'תחשיב לפי שווי שומה (2)'!$B$8</f>
        <v>2242400</v>
      </c>
      <c r="C31" s="190">
        <v>1</v>
      </c>
      <c r="D31" s="6">
        <f>C31*$B$8</f>
        <v>8000</v>
      </c>
    </row>
    <row r="32" spans="1:10" x14ac:dyDescent="0.35">
      <c r="A32" s="1" t="s">
        <v>153</v>
      </c>
      <c r="B32" s="6">
        <f>350*$B$8*C32</f>
        <v>420000</v>
      </c>
      <c r="C32" s="190">
        <v>0.15</v>
      </c>
      <c r="D32" s="6">
        <f>C32*$B$8</f>
        <v>1200</v>
      </c>
    </row>
    <row r="33" spans="1:6" x14ac:dyDescent="0.35">
      <c r="C33" s="75"/>
    </row>
    <row r="34" spans="1:6" x14ac:dyDescent="0.35">
      <c r="A34" s="1" t="s">
        <v>151</v>
      </c>
      <c r="B34" s="6">
        <f>B31-B32</f>
        <v>1822400</v>
      </c>
      <c r="C34" s="190">
        <f>C31-C32</f>
        <v>0.85</v>
      </c>
      <c r="D34" s="6">
        <f>C34*$B$8</f>
        <v>6800</v>
      </c>
    </row>
    <row r="35" spans="1:6" x14ac:dyDescent="0.35">
      <c r="A35" s="1" t="s">
        <v>152</v>
      </c>
      <c r="B35" s="6">
        <f>B34*50%</f>
        <v>911200</v>
      </c>
      <c r="C35" s="190">
        <f>C34*50%</f>
        <v>0.42499999999999999</v>
      </c>
      <c r="D35" s="6">
        <f>C35*$B$8</f>
        <v>3400</v>
      </c>
    </row>
    <row r="37" spans="1:6" x14ac:dyDescent="0.35">
      <c r="A37" s="2" t="s">
        <v>160</v>
      </c>
      <c r="C37" s="75"/>
    </row>
    <row r="38" spans="1:6" x14ac:dyDescent="0.35">
      <c r="A38" s="2"/>
      <c r="B38" s="2" t="s">
        <v>158</v>
      </c>
      <c r="C38" s="2" t="s">
        <v>21</v>
      </c>
      <c r="D38" s="2" t="s">
        <v>157</v>
      </c>
    </row>
    <row r="39" spans="1:6" x14ac:dyDescent="0.35">
      <c r="A39" s="1" t="s">
        <v>154</v>
      </c>
      <c r="B39" s="5">
        <f>'מ"ר אקו'' נחלה'!D57*'תחשיב לפי שווי שומה (2)'!$B$8</f>
        <v>2242400</v>
      </c>
      <c r="C39" s="190">
        <v>1</v>
      </c>
      <c r="D39" s="6">
        <f>C39*$B$8</f>
        <v>8000</v>
      </c>
    </row>
    <row r="40" spans="1:6" x14ac:dyDescent="0.35">
      <c r="A40" s="1" t="s">
        <v>161</v>
      </c>
      <c r="B40" s="6">
        <f>B39*70%</f>
        <v>1569680</v>
      </c>
      <c r="C40" s="190">
        <v>0.7</v>
      </c>
      <c r="D40" s="6">
        <f>C40*$B$8</f>
        <v>5600</v>
      </c>
    </row>
    <row r="41" spans="1:6" x14ac:dyDescent="0.35">
      <c r="C41" s="75"/>
    </row>
    <row r="42" spans="1:6" x14ac:dyDescent="0.35">
      <c r="A42" s="1" t="s">
        <v>151</v>
      </c>
      <c r="B42" s="6">
        <f>B39-B40</f>
        <v>672720</v>
      </c>
      <c r="C42" s="190">
        <f>C39-C40</f>
        <v>0.30000000000000004</v>
      </c>
      <c r="D42" s="6">
        <f>C42*$B$8</f>
        <v>2400.0000000000005</v>
      </c>
      <c r="F42" s="6"/>
    </row>
    <row r="43" spans="1:6" x14ac:dyDescent="0.35">
      <c r="A43" s="1" t="s">
        <v>152</v>
      </c>
      <c r="B43" s="6">
        <f>B42*50%</f>
        <v>336360</v>
      </c>
      <c r="C43" s="190">
        <f>C42*50%</f>
        <v>0.15000000000000002</v>
      </c>
      <c r="D43" s="6">
        <f>C43*$B$8</f>
        <v>1200.0000000000002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Y41"/>
  <sheetViews>
    <sheetView rightToLeft="1" topLeftCell="B1" workbookViewId="0">
      <selection activeCell="C17" sqref="C16:C17"/>
    </sheetView>
  </sheetViews>
  <sheetFormatPr defaultRowHeight="13.8" x14ac:dyDescent="0.25"/>
  <cols>
    <col min="21" max="21" width="12.19921875" customWidth="1"/>
  </cols>
  <sheetData>
    <row r="8" spans="8:25" ht="14.4" thickBot="1" x14ac:dyDescent="0.3"/>
    <row r="9" spans="8:25" ht="14.4" thickBot="1" x14ac:dyDescent="0.3">
      <c r="H9" s="289" t="s">
        <v>203</v>
      </c>
      <c r="I9" s="290"/>
      <c r="J9" s="290"/>
      <c r="K9" s="290"/>
      <c r="L9" s="290"/>
      <c r="M9" s="290"/>
      <c r="N9" s="290"/>
      <c r="O9" s="291"/>
      <c r="T9" s="289" t="s">
        <v>203</v>
      </c>
      <c r="U9" s="290"/>
      <c r="V9" s="290"/>
      <c r="W9" s="290"/>
      <c r="X9" s="290"/>
      <c r="Y9" s="291"/>
    </row>
    <row r="10" spans="8:25" x14ac:dyDescent="0.25">
      <c r="H10" s="285" t="s">
        <v>204</v>
      </c>
      <c r="I10" s="286"/>
      <c r="J10" s="285" t="s">
        <v>205</v>
      </c>
      <c r="K10" s="286"/>
      <c r="L10" s="259" t="s">
        <v>206</v>
      </c>
      <c r="M10" s="260"/>
      <c r="N10" s="285" t="s">
        <v>5</v>
      </c>
      <c r="O10" s="286"/>
      <c r="T10" s="285" t="s">
        <v>204</v>
      </c>
      <c r="U10" s="286"/>
      <c r="V10" s="259" t="s">
        <v>277</v>
      </c>
      <c r="W10" s="260"/>
      <c r="X10" s="285" t="s">
        <v>5</v>
      </c>
      <c r="Y10" s="286"/>
    </row>
    <row r="11" spans="8:25" ht="14.4" thickBot="1" x14ac:dyDescent="0.3">
      <c r="H11" s="287"/>
      <c r="I11" s="288"/>
      <c r="J11" s="287"/>
      <c r="K11" s="288"/>
      <c r="L11" s="261"/>
      <c r="M11" s="262"/>
      <c r="N11" s="287"/>
      <c r="O11" s="288"/>
      <c r="T11" s="287"/>
      <c r="U11" s="288"/>
      <c r="V11" s="261"/>
      <c r="W11" s="262"/>
      <c r="X11" s="287"/>
      <c r="Y11" s="288"/>
    </row>
    <row r="12" spans="8:25" x14ac:dyDescent="0.25">
      <c r="H12" s="263" t="s">
        <v>207</v>
      </c>
      <c r="I12" s="264"/>
      <c r="J12" s="267">
        <f>240000</f>
        <v>240000</v>
      </c>
      <c r="K12" s="267"/>
      <c r="L12" s="267">
        <f>240000</f>
        <v>240000</v>
      </c>
      <c r="M12" s="267"/>
      <c r="N12" s="267">
        <v>2800000</v>
      </c>
      <c r="O12" s="283"/>
      <c r="T12" s="263" t="s">
        <v>207</v>
      </c>
      <c r="U12" s="264"/>
      <c r="V12" s="267">
        <f>240000</f>
        <v>240000</v>
      </c>
      <c r="W12" s="267"/>
      <c r="X12" s="267">
        <v>2800000</v>
      </c>
      <c r="Y12" s="283"/>
    </row>
    <row r="13" spans="8:25" x14ac:dyDescent="0.25">
      <c r="H13" s="265"/>
      <c r="I13" s="266"/>
      <c r="J13" s="268"/>
      <c r="K13" s="268"/>
      <c r="L13" s="268"/>
      <c r="M13" s="268"/>
      <c r="N13" s="268"/>
      <c r="O13" s="284"/>
      <c r="T13" s="265"/>
      <c r="U13" s="266"/>
      <c r="V13" s="268"/>
      <c r="W13" s="268"/>
      <c r="X13" s="268"/>
      <c r="Y13" s="284"/>
    </row>
    <row r="14" spans="8:25" x14ac:dyDescent="0.25">
      <c r="H14" s="265" t="s">
        <v>208</v>
      </c>
      <c r="I14" s="266"/>
      <c r="J14" s="268">
        <f>1000000</f>
        <v>1000000</v>
      </c>
      <c r="K14" s="268"/>
      <c r="L14" s="268">
        <v>1730000</v>
      </c>
      <c r="M14" s="268"/>
      <c r="N14" s="266" t="s">
        <v>209</v>
      </c>
      <c r="O14" s="294"/>
      <c r="T14" s="265" t="s">
        <v>208</v>
      </c>
      <c r="U14" s="266"/>
      <c r="V14" s="268">
        <v>680000</v>
      </c>
      <c r="W14" s="268"/>
      <c r="X14" s="266" t="s">
        <v>209</v>
      </c>
      <c r="Y14" s="294"/>
    </row>
    <row r="15" spans="8:25" x14ac:dyDescent="0.25">
      <c r="H15" s="265"/>
      <c r="I15" s="266"/>
      <c r="J15" s="268"/>
      <c r="K15" s="268"/>
      <c r="L15" s="268"/>
      <c r="M15" s="268"/>
      <c r="N15" s="266"/>
      <c r="O15" s="294"/>
      <c r="T15" s="265"/>
      <c r="U15" s="266"/>
      <c r="V15" s="268"/>
      <c r="W15" s="268"/>
      <c r="X15" s="266"/>
      <c r="Y15" s="294"/>
    </row>
    <row r="16" spans="8:25" x14ac:dyDescent="0.25">
      <c r="H16" s="265" t="s">
        <v>210</v>
      </c>
      <c r="I16" s="266"/>
      <c r="J16" s="269">
        <f>(J14+J12)*0.06</f>
        <v>74400</v>
      </c>
      <c r="K16" s="269"/>
      <c r="L16" s="269">
        <f>(L14+L12)*0.06</f>
        <v>118200</v>
      </c>
      <c r="M16" s="269"/>
      <c r="N16" s="269">
        <f>N12*0.06</f>
        <v>168000</v>
      </c>
      <c r="O16" s="282"/>
      <c r="T16" s="265" t="s">
        <v>210</v>
      </c>
      <c r="U16" s="266"/>
      <c r="V16" s="269">
        <f>(V14+V12)*0.06</f>
        <v>55200</v>
      </c>
      <c r="W16" s="269"/>
      <c r="X16" s="269">
        <f>X12*0.06</f>
        <v>168000</v>
      </c>
      <c r="Y16" s="282"/>
    </row>
    <row r="17" spans="8:25" x14ac:dyDescent="0.25">
      <c r="H17" s="265"/>
      <c r="I17" s="266"/>
      <c r="J17" s="269"/>
      <c r="K17" s="269"/>
      <c r="L17" s="269"/>
      <c r="M17" s="269"/>
      <c r="N17" s="269"/>
      <c r="O17" s="282"/>
      <c r="T17" s="265"/>
      <c r="U17" s="266"/>
      <c r="V17" s="269"/>
      <c r="W17" s="269"/>
      <c r="X17" s="269"/>
      <c r="Y17" s="282"/>
    </row>
    <row r="18" spans="8:25" x14ac:dyDescent="0.25">
      <c r="H18" s="265" t="s">
        <v>211</v>
      </c>
      <c r="I18" s="266"/>
      <c r="J18" s="266" t="s">
        <v>209</v>
      </c>
      <c r="K18" s="266"/>
      <c r="L18" s="269">
        <v>144000</v>
      </c>
      <c r="M18" s="269"/>
      <c r="N18" s="266" t="s">
        <v>209</v>
      </c>
      <c r="O18" s="294"/>
      <c r="T18" s="265" t="s">
        <v>211</v>
      </c>
      <c r="U18" s="266"/>
      <c r="V18" s="269">
        <v>100000</v>
      </c>
      <c r="W18" s="269"/>
      <c r="X18" s="266" t="s">
        <v>209</v>
      </c>
      <c r="Y18" s="294"/>
    </row>
    <row r="19" spans="8:25" x14ac:dyDescent="0.25">
      <c r="H19" s="265"/>
      <c r="I19" s="266"/>
      <c r="J19" s="266"/>
      <c r="K19" s="266"/>
      <c r="L19" s="269"/>
      <c r="M19" s="269"/>
      <c r="N19" s="266"/>
      <c r="O19" s="294"/>
      <c r="T19" s="265"/>
      <c r="U19" s="266"/>
      <c r="V19" s="269"/>
      <c r="W19" s="269"/>
      <c r="X19" s="266"/>
      <c r="Y19" s="294"/>
    </row>
    <row r="20" spans="8:25" x14ac:dyDescent="0.25">
      <c r="H20" s="255" t="s">
        <v>8</v>
      </c>
      <c r="I20" s="256"/>
      <c r="J20" s="257">
        <f>SUM(J12:K19)</f>
        <v>1314400</v>
      </c>
      <c r="K20" s="256"/>
      <c r="L20" s="257">
        <f>SUM(L12:M19)</f>
        <v>2232200</v>
      </c>
      <c r="M20" s="256"/>
      <c r="N20" s="257">
        <f>SUM(N12:O19)</f>
        <v>2968000</v>
      </c>
      <c r="O20" s="258"/>
      <c r="T20" s="255" t="s">
        <v>8</v>
      </c>
      <c r="U20" s="256"/>
      <c r="V20" s="257">
        <f>SUM(V12:W19)</f>
        <v>1075200</v>
      </c>
      <c r="W20" s="256"/>
      <c r="X20" s="257">
        <f>SUM(X12:Y19)</f>
        <v>2968000</v>
      </c>
      <c r="Y20" s="258"/>
    </row>
    <row r="21" spans="8:25" x14ac:dyDescent="0.25">
      <c r="H21" s="255"/>
      <c r="I21" s="256"/>
      <c r="J21" s="256"/>
      <c r="K21" s="256"/>
      <c r="L21" s="256"/>
      <c r="M21" s="256"/>
      <c r="N21" s="256"/>
      <c r="O21" s="258"/>
      <c r="T21" s="255"/>
      <c r="U21" s="256"/>
      <c r="V21" s="256"/>
      <c r="W21" s="256"/>
      <c r="X21" s="256"/>
      <c r="Y21" s="258"/>
    </row>
    <row r="22" spans="8:25" x14ac:dyDescent="0.25">
      <c r="H22" s="265" t="s">
        <v>212</v>
      </c>
      <c r="I22" s="266"/>
      <c r="J22" s="269">
        <v>500000</v>
      </c>
      <c r="K22" s="266"/>
      <c r="L22" s="269">
        <v>1500000</v>
      </c>
      <c r="M22" s="266"/>
      <c r="N22" s="266" t="s">
        <v>213</v>
      </c>
      <c r="O22" s="294"/>
      <c r="T22" s="265" t="s">
        <v>212</v>
      </c>
      <c r="U22" s="266"/>
      <c r="V22" s="269">
        <v>1190000</v>
      </c>
      <c r="W22" s="266"/>
      <c r="X22" s="269">
        <v>1190000</v>
      </c>
      <c r="Y22" s="266"/>
    </row>
    <row r="23" spans="8:25" ht="14.4" thickBot="1" x14ac:dyDescent="0.3">
      <c r="H23" s="270"/>
      <c r="I23" s="271"/>
      <c r="J23" s="271"/>
      <c r="K23" s="271"/>
      <c r="L23" s="271"/>
      <c r="M23" s="271"/>
      <c r="N23" s="271"/>
      <c r="O23" s="295"/>
      <c r="T23" s="270"/>
      <c r="U23" s="271"/>
      <c r="V23" s="271"/>
      <c r="W23" s="271"/>
      <c r="X23" s="271"/>
      <c r="Y23" s="271"/>
    </row>
    <row r="28" spans="8:25" ht="14.4" thickBot="1" x14ac:dyDescent="0.3"/>
    <row r="29" spans="8:25" ht="14.4" thickBot="1" x14ac:dyDescent="0.3">
      <c r="H29" s="276" t="s">
        <v>272</v>
      </c>
      <c r="I29" s="277"/>
      <c r="J29" s="277"/>
      <c r="K29" s="277"/>
      <c r="L29" s="277"/>
      <c r="M29" s="278"/>
    </row>
    <row r="30" spans="8:25" ht="13.8" customHeight="1" x14ac:dyDescent="0.25">
      <c r="H30" s="285" t="s">
        <v>204</v>
      </c>
      <c r="I30" s="286"/>
      <c r="J30" s="259" t="s">
        <v>274</v>
      </c>
      <c r="K30" s="260"/>
      <c r="L30" s="259" t="s">
        <v>275</v>
      </c>
      <c r="M30" s="260"/>
    </row>
    <row r="31" spans="8:25" ht="14.4" thickBot="1" x14ac:dyDescent="0.3">
      <c r="H31" s="287"/>
      <c r="I31" s="288"/>
      <c r="J31" s="261"/>
      <c r="K31" s="262"/>
      <c r="L31" s="261"/>
      <c r="M31" s="262"/>
    </row>
    <row r="32" spans="8:25" x14ac:dyDescent="0.25">
      <c r="H32" s="263" t="s">
        <v>273</v>
      </c>
      <c r="I32" s="264"/>
      <c r="J32" s="267">
        <f>240000</f>
        <v>240000</v>
      </c>
      <c r="K32" s="267"/>
      <c r="L32" s="267">
        <f>240000</f>
        <v>240000</v>
      </c>
      <c r="M32" s="283"/>
    </row>
    <row r="33" spans="8:13" x14ac:dyDescent="0.25">
      <c r="H33" s="265"/>
      <c r="I33" s="266"/>
      <c r="J33" s="268"/>
      <c r="K33" s="268"/>
      <c r="L33" s="268"/>
      <c r="M33" s="284"/>
    </row>
    <row r="34" spans="8:13" x14ac:dyDescent="0.25">
      <c r="H34" s="265" t="s">
        <v>210</v>
      </c>
      <c r="I34" s="266"/>
      <c r="J34" s="272">
        <f>J32*0.06</f>
        <v>14400</v>
      </c>
      <c r="K34" s="273"/>
      <c r="L34" s="272">
        <f>L32*0.06</f>
        <v>14400</v>
      </c>
      <c r="M34" s="292"/>
    </row>
    <row r="35" spans="8:13" x14ac:dyDescent="0.25">
      <c r="H35" s="265"/>
      <c r="I35" s="266"/>
      <c r="J35" s="274"/>
      <c r="K35" s="275"/>
      <c r="L35" s="274"/>
      <c r="M35" s="293"/>
    </row>
    <row r="36" spans="8:13" x14ac:dyDescent="0.25">
      <c r="H36" s="265" t="s">
        <v>276</v>
      </c>
      <c r="I36" s="266"/>
      <c r="J36" s="269">
        <v>345000</v>
      </c>
      <c r="K36" s="269"/>
      <c r="L36" s="269">
        <v>345000</v>
      </c>
      <c r="M36" s="282"/>
    </row>
    <row r="37" spans="8:13" x14ac:dyDescent="0.25">
      <c r="H37" s="265"/>
      <c r="I37" s="266"/>
      <c r="J37" s="269"/>
      <c r="K37" s="269"/>
      <c r="L37" s="269"/>
      <c r="M37" s="282"/>
    </row>
    <row r="38" spans="8:13" x14ac:dyDescent="0.25">
      <c r="H38" s="265" t="s">
        <v>190</v>
      </c>
      <c r="I38" s="266"/>
      <c r="J38" s="269">
        <v>475555</v>
      </c>
      <c r="K38" s="269"/>
      <c r="L38" s="269">
        <f>87*3000+79*6000</f>
        <v>735000</v>
      </c>
      <c r="M38" s="282"/>
    </row>
    <row r="39" spans="8:13" x14ac:dyDescent="0.25">
      <c r="H39" s="265"/>
      <c r="I39" s="266"/>
      <c r="J39" s="269"/>
      <c r="K39" s="269"/>
      <c r="L39" s="269"/>
      <c r="M39" s="282"/>
    </row>
    <row r="40" spans="8:13" x14ac:dyDescent="0.25">
      <c r="H40" s="255" t="s">
        <v>8</v>
      </c>
      <c r="I40" s="256"/>
      <c r="J40" s="257">
        <f>SUM(J32:K39)</f>
        <v>1074955</v>
      </c>
      <c r="K40" s="256"/>
      <c r="L40" s="257">
        <f>SUM(L32:M39)</f>
        <v>1334400</v>
      </c>
      <c r="M40" s="258"/>
    </row>
    <row r="41" spans="8:13" ht="14.4" thickBot="1" x14ac:dyDescent="0.3">
      <c r="H41" s="279"/>
      <c r="I41" s="280"/>
      <c r="J41" s="280"/>
      <c r="K41" s="280"/>
      <c r="L41" s="280"/>
      <c r="M41" s="281"/>
    </row>
  </sheetData>
  <mergeCells count="70">
    <mergeCell ref="T20:U21"/>
    <mergeCell ref="V20:W21"/>
    <mergeCell ref="X20:Y21"/>
    <mergeCell ref="T22:U23"/>
    <mergeCell ref="V22:W23"/>
    <mergeCell ref="X22:Y23"/>
    <mergeCell ref="T16:U17"/>
    <mergeCell ref="V16:W17"/>
    <mergeCell ref="X16:Y17"/>
    <mergeCell ref="T18:U19"/>
    <mergeCell ref="V18:W19"/>
    <mergeCell ref="X18:Y19"/>
    <mergeCell ref="T12:U13"/>
    <mergeCell ref="V12:W13"/>
    <mergeCell ref="X12:Y13"/>
    <mergeCell ref="T14:U15"/>
    <mergeCell ref="V14:W15"/>
    <mergeCell ref="X14:Y15"/>
    <mergeCell ref="T9:Y9"/>
    <mergeCell ref="T10:U11"/>
    <mergeCell ref="V10:W11"/>
    <mergeCell ref="X10:Y11"/>
    <mergeCell ref="L34:M35"/>
    <mergeCell ref="N12:O13"/>
    <mergeCell ref="H9:O9"/>
    <mergeCell ref="H10:I11"/>
    <mergeCell ref="J10:K11"/>
    <mergeCell ref="L10:M11"/>
    <mergeCell ref="N10:O11"/>
    <mergeCell ref="N14:O15"/>
    <mergeCell ref="N16:O17"/>
    <mergeCell ref="N22:O23"/>
    <mergeCell ref="L18:M19"/>
    <mergeCell ref="N18:O19"/>
    <mergeCell ref="J34:K35"/>
    <mergeCell ref="H34:I35"/>
    <mergeCell ref="H29:M29"/>
    <mergeCell ref="H40:I41"/>
    <mergeCell ref="J40:K41"/>
    <mergeCell ref="L40:M41"/>
    <mergeCell ref="H36:I37"/>
    <mergeCell ref="J36:K37"/>
    <mergeCell ref="L36:M37"/>
    <mergeCell ref="H38:I39"/>
    <mergeCell ref="J38:K39"/>
    <mergeCell ref="L38:M39"/>
    <mergeCell ref="H32:I33"/>
    <mergeCell ref="J32:K33"/>
    <mergeCell ref="L32:M33"/>
    <mergeCell ref="H30:I31"/>
    <mergeCell ref="H16:I17"/>
    <mergeCell ref="J16:K17"/>
    <mergeCell ref="L16:M17"/>
    <mergeCell ref="H22:I23"/>
    <mergeCell ref="J22:K23"/>
    <mergeCell ref="L22:M23"/>
    <mergeCell ref="H18:I19"/>
    <mergeCell ref="J18:K19"/>
    <mergeCell ref="H12:I13"/>
    <mergeCell ref="J12:K13"/>
    <mergeCell ref="L12:M13"/>
    <mergeCell ref="H14:I15"/>
    <mergeCell ref="J14:K15"/>
    <mergeCell ref="L14:M15"/>
    <mergeCell ref="H20:I21"/>
    <mergeCell ref="J20:K21"/>
    <mergeCell ref="L20:M21"/>
    <mergeCell ref="N20:O21"/>
    <mergeCell ref="J30:K31"/>
    <mergeCell ref="L30:M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94"/>
  <sheetViews>
    <sheetView rightToLeft="1" topLeftCell="A56" workbookViewId="0">
      <selection activeCell="M81" sqref="M81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128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53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95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24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25</v>
      </c>
      <c r="B8" s="23">
        <f>SUM(B4:B7)</f>
        <v>600</v>
      </c>
      <c r="C8" s="24"/>
      <c r="D8" s="25"/>
      <c r="E8" s="91"/>
      <c r="F8" s="22" t="s">
        <v>25</v>
      </c>
      <c r="G8" s="23">
        <f>SUM(G4:G7)</f>
        <v>600</v>
      </c>
      <c r="H8" s="24"/>
      <c r="I8" s="25"/>
    </row>
    <row r="9" spans="1:10" x14ac:dyDescent="0.25">
      <c r="A9" s="26" t="s">
        <v>26</v>
      </c>
      <c r="B9" s="27">
        <f>B2-B8</f>
        <v>1900</v>
      </c>
      <c r="C9" s="28"/>
      <c r="D9" s="29"/>
      <c r="F9" s="26" t="s">
        <v>26</v>
      </c>
      <c r="G9" s="27">
        <f>G2-G8</f>
        <v>2400</v>
      </c>
      <c r="H9" s="28"/>
      <c r="I9" s="29"/>
    </row>
    <row r="10" spans="1:10" x14ac:dyDescent="0.25">
      <c r="A10" s="22" t="s">
        <v>27</v>
      </c>
      <c r="B10" s="23">
        <v>1000</v>
      </c>
      <c r="C10" s="24">
        <v>0.25</v>
      </c>
      <c r="D10" s="25">
        <f>C10*B10</f>
        <v>250</v>
      </c>
      <c r="F10" s="22" t="s">
        <v>27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28</v>
      </c>
      <c r="B11" s="19">
        <f>B9-B10</f>
        <v>900</v>
      </c>
      <c r="C11" s="20">
        <v>0.2</v>
      </c>
      <c r="D11" s="21">
        <f>C11*B11</f>
        <v>180</v>
      </c>
      <c r="F11" s="18" t="s">
        <v>28</v>
      </c>
      <c r="G11" s="19">
        <f>B11</f>
        <v>900</v>
      </c>
      <c r="H11" s="20">
        <v>0.2</v>
      </c>
      <c r="I11" s="21">
        <f>H11*G11</f>
        <v>180</v>
      </c>
    </row>
    <row r="12" spans="1:10" x14ac:dyDescent="0.25">
      <c r="A12" s="18"/>
      <c r="B12" s="19"/>
      <c r="C12" s="20"/>
      <c r="D12" s="21"/>
      <c r="F12" s="18" t="s">
        <v>70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29</v>
      </c>
      <c r="B13" s="31">
        <f>SUM(B4:B11)</f>
        <v>5000</v>
      </c>
      <c r="C13" s="32"/>
      <c r="D13" s="33">
        <f>SUM(D4:D12)</f>
        <v>952.5</v>
      </c>
      <c r="F13" s="30" t="s">
        <v>29</v>
      </c>
      <c r="G13" s="31">
        <f>SUM(G4:G11)</f>
        <v>5500</v>
      </c>
      <c r="H13" s="32"/>
      <c r="I13" s="33">
        <f>SUM(I4:I12)</f>
        <v>1002.5</v>
      </c>
      <c r="J13" s="74"/>
    </row>
    <row r="14" spans="1:10" ht="14.4" thickBot="1" x14ac:dyDescent="0.3">
      <c r="A14" s="34" t="s">
        <v>30</v>
      </c>
      <c r="B14" s="35"/>
      <c r="C14" s="36"/>
      <c r="D14" s="37">
        <f>D13</f>
        <v>952.5</v>
      </c>
      <c r="E14" s="72"/>
      <c r="F14" s="34" t="s">
        <v>30</v>
      </c>
      <c r="G14" s="35"/>
      <c r="H14" s="36"/>
      <c r="I14" s="37">
        <f>I13</f>
        <v>1002.5</v>
      </c>
    </row>
    <row r="15" spans="1:10" x14ac:dyDescent="0.25">
      <c r="A15" t="s">
        <v>64</v>
      </c>
      <c r="D15" s="17">
        <v>247000</v>
      </c>
      <c r="F15" t="s">
        <v>64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67</v>
      </c>
      <c r="B17" s="11">
        <v>2500</v>
      </c>
      <c r="C17" s="12" t="s">
        <v>96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53</v>
      </c>
      <c r="B19" s="19">
        <v>200</v>
      </c>
      <c r="C19" s="20">
        <v>1</v>
      </c>
      <c r="D19" s="21">
        <f>C19*B19</f>
        <v>200</v>
      </c>
      <c r="I19" s="17"/>
    </row>
    <row r="20" spans="1:9" x14ac:dyDescent="0.25">
      <c r="A20" s="18" t="s">
        <v>66</v>
      </c>
      <c r="B20" s="19">
        <v>7</v>
      </c>
      <c r="C20" s="20">
        <v>0.9</v>
      </c>
      <c r="D20" s="21">
        <f>C20*B20</f>
        <v>6.3</v>
      </c>
      <c r="I20" s="17"/>
    </row>
    <row r="21" spans="1:9" x14ac:dyDescent="0.25">
      <c r="A21" s="18" t="s">
        <v>97</v>
      </c>
      <c r="B21" s="19">
        <f>30-B20</f>
        <v>23</v>
      </c>
      <c r="C21" s="20">
        <v>0.5</v>
      </c>
      <c r="D21" s="21">
        <f>C21*B21</f>
        <v>11.5</v>
      </c>
      <c r="I21" s="17"/>
    </row>
    <row r="22" spans="1:9" x14ac:dyDescent="0.25">
      <c r="A22" s="18" t="s">
        <v>98</v>
      </c>
      <c r="B22" s="19">
        <v>50</v>
      </c>
      <c r="C22" s="20">
        <v>0.3</v>
      </c>
      <c r="D22" s="21">
        <f>C22*B22</f>
        <v>15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68</v>
      </c>
      <c r="B25" s="23">
        <f>-SUM(B19:B21)</f>
        <v>-230</v>
      </c>
      <c r="C25" s="24">
        <v>0.2</v>
      </c>
      <c r="D25" s="25">
        <f>B25*C25</f>
        <v>-46</v>
      </c>
      <c r="H25">
        <f>H24+137</f>
        <v>1086</v>
      </c>
      <c r="I25" s="17"/>
    </row>
    <row r="26" spans="1:9" x14ac:dyDescent="0.25">
      <c r="A26" s="18" t="s">
        <v>30</v>
      </c>
      <c r="B26" s="19"/>
      <c r="C26" s="20"/>
      <c r="D26" s="21">
        <f>SUM(D19:D25)</f>
        <v>186.8</v>
      </c>
      <c r="I26" s="17"/>
    </row>
    <row r="27" spans="1:9" x14ac:dyDescent="0.25">
      <c r="A27" s="30" t="s">
        <v>87</v>
      </c>
      <c r="B27" s="31"/>
      <c r="C27" s="32"/>
      <c r="D27" s="239">
        <f>1/1.05^5</f>
        <v>0.78352616646845896</v>
      </c>
      <c r="I27" s="17"/>
    </row>
    <row r="28" spans="1:9" ht="14.4" thickBot="1" x14ac:dyDescent="0.3">
      <c r="A28" s="34" t="s">
        <v>30</v>
      </c>
      <c r="B28" s="35"/>
      <c r="C28" s="36"/>
      <c r="D28" s="37">
        <f>D27*D26</f>
        <v>146.36268789630813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96" t="s">
        <v>196</v>
      </c>
      <c r="B30" s="297"/>
      <c r="C30" s="297"/>
      <c r="D30" s="298"/>
      <c r="I30" s="17"/>
    </row>
    <row r="31" spans="1:9" x14ac:dyDescent="0.25">
      <c r="A31" s="213" t="s">
        <v>197</v>
      </c>
      <c r="B31" s="12"/>
      <c r="C31" s="12"/>
      <c r="D31" s="214">
        <v>186</v>
      </c>
      <c r="I31" s="17"/>
    </row>
    <row r="32" spans="1:9" x14ac:dyDescent="0.25">
      <c r="A32" s="18" t="s">
        <v>198</v>
      </c>
      <c r="D32" s="215">
        <v>160</v>
      </c>
      <c r="I32" s="17"/>
    </row>
    <row r="33" spans="1:11" ht="14.4" thickBot="1" x14ac:dyDescent="0.3">
      <c r="A33" s="100" t="s">
        <v>199</v>
      </c>
      <c r="B33" s="102"/>
      <c r="C33" s="102"/>
      <c r="D33" s="216">
        <f>D31-D32</f>
        <v>26</v>
      </c>
      <c r="I33" s="17"/>
    </row>
    <row r="34" spans="1:11" x14ac:dyDescent="0.25">
      <c r="A34" s="10" t="s">
        <v>200</v>
      </c>
      <c r="B34" s="12"/>
      <c r="C34" s="12"/>
      <c r="D34" s="214">
        <v>240</v>
      </c>
      <c r="I34" s="17"/>
    </row>
    <row r="35" spans="1:11" x14ac:dyDescent="0.25">
      <c r="A35" s="18" t="s">
        <v>198</v>
      </c>
      <c r="D35" s="215">
        <v>160</v>
      </c>
      <c r="I35" s="17"/>
    </row>
    <row r="36" spans="1:11" ht="14.4" thickBot="1" x14ac:dyDescent="0.3">
      <c r="A36" s="100" t="s">
        <v>199</v>
      </c>
      <c r="B36" s="102"/>
      <c r="C36" s="102"/>
      <c r="D36" s="216">
        <f>D34-D35</f>
        <v>80</v>
      </c>
      <c r="I36" s="17"/>
    </row>
    <row r="37" spans="1:11" ht="14.4" thickBot="1" x14ac:dyDescent="0.3">
      <c r="A37" s="18"/>
      <c r="D37" s="215"/>
      <c r="I37" s="17"/>
    </row>
    <row r="38" spans="1:11" ht="14.4" thickBot="1" x14ac:dyDescent="0.3">
      <c r="A38" s="217" t="s">
        <v>201</v>
      </c>
      <c r="B38" s="218"/>
      <c r="C38" s="218"/>
      <c r="D38" s="219">
        <v>0</v>
      </c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202</v>
      </c>
      <c r="D41" s="17">
        <f>D14+D28-D38</f>
        <v>1098.8626878963082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 t="s">
        <v>159</v>
      </c>
    </row>
    <row r="47" spans="1:11" x14ac:dyDescent="0.25">
      <c r="A47" s="10" t="s">
        <v>49</v>
      </c>
      <c r="B47" s="98">
        <v>350</v>
      </c>
      <c r="C47" s="12" t="s">
        <v>72</v>
      </c>
      <c r="D47" s="13"/>
      <c r="F47" s="10" t="s">
        <v>57</v>
      </c>
      <c r="G47" s="12"/>
      <c r="H47" s="12"/>
      <c r="I47" s="13"/>
      <c r="J47" t="s">
        <v>60</v>
      </c>
    </row>
    <row r="48" spans="1:11" x14ac:dyDescent="0.25">
      <c r="A48" s="22" t="s">
        <v>50</v>
      </c>
      <c r="B48" s="40">
        <v>200</v>
      </c>
      <c r="C48" s="24">
        <v>1</v>
      </c>
      <c r="D48" s="25">
        <f t="shared" ref="D48:D53" si="1">B48*C48</f>
        <v>200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54</v>
      </c>
      <c r="B49" s="19">
        <v>50</v>
      </c>
      <c r="C49" s="20">
        <v>0.5</v>
      </c>
      <c r="D49" s="21">
        <f t="shared" si="1"/>
        <v>25</v>
      </c>
      <c r="F49" s="18" t="s">
        <v>51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25">
      <c r="A50" s="18" t="s">
        <v>23</v>
      </c>
      <c r="B50" s="19">
        <v>7</v>
      </c>
      <c r="C50" s="20">
        <v>0.9</v>
      </c>
      <c r="D50" s="21">
        <f t="shared" si="1"/>
        <v>6.3</v>
      </c>
      <c r="F50" s="43" t="s">
        <v>58</v>
      </c>
      <c r="G50" s="107"/>
      <c r="H50" s="107"/>
      <c r="I50" s="108">
        <f>I48+I49</f>
        <v>207.5</v>
      </c>
      <c r="J50" s="17">
        <f>'תחשיב לפי שווי שומה (2)'!B8</f>
        <v>8000</v>
      </c>
      <c r="K50" s="17">
        <f>I50*J50</f>
        <v>1660000</v>
      </c>
      <c r="L50" s="109">
        <v>0.29249999999999998</v>
      </c>
      <c r="M50" s="91">
        <f>K50*L50</f>
        <v>485549.99999999994</v>
      </c>
    </row>
    <row r="51" spans="1:13" ht="14.4" thickBot="1" x14ac:dyDescent="0.3">
      <c r="A51" s="18"/>
      <c r="B51" s="19"/>
      <c r="C51" s="20"/>
      <c r="D51" s="21"/>
      <c r="F51" s="100" t="s">
        <v>59</v>
      </c>
      <c r="G51" s="102"/>
      <c r="H51" s="102"/>
      <c r="I51" s="103">
        <f>D57-I50</f>
        <v>72.800000000000011</v>
      </c>
      <c r="J51" s="17">
        <f>J50</f>
        <v>8000</v>
      </c>
      <c r="K51" s="17">
        <f>I51*J51</f>
        <v>582400.00000000012</v>
      </c>
      <c r="L51" s="109">
        <v>0.33</v>
      </c>
      <c r="M51" s="91">
        <f>K51*L51</f>
        <v>192192.00000000006</v>
      </c>
    </row>
    <row r="52" spans="1:13" x14ac:dyDescent="0.25">
      <c r="A52" s="18"/>
      <c r="B52" s="19"/>
      <c r="C52" s="20"/>
      <c r="D52" s="21"/>
      <c r="M52" s="91">
        <f>SUM(M50:M51)</f>
        <v>677742</v>
      </c>
    </row>
    <row r="53" spans="1:13" x14ac:dyDescent="0.25">
      <c r="A53" s="99" t="s">
        <v>24</v>
      </c>
      <c r="B53" s="71">
        <v>23</v>
      </c>
      <c r="C53" s="28">
        <v>0.5</v>
      </c>
      <c r="D53" s="29">
        <f t="shared" si="1"/>
        <v>11.5</v>
      </c>
    </row>
    <row r="54" spans="1:13" x14ac:dyDescent="0.25">
      <c r="A54" s="22" t="s">
        <v>25</v>
      </c>
      <c r="B54" s="23">
        <v>200</v>
      </c>
      <c r="C54" s="24"/>
      <c r="D54" s="25"/>
    </row>
    <row r="55" spans="1:13" x14ac:dyDescent="0.25">
      <c r="A55" s="18" t="s">
        <v>26</v>
      </c>
      <c r="B55" s="19">
        <f>B47-B54</f>
        <v>150</v>
      </c>
      <c r="C55" s="20"/>
      <c r="D55" s="21"/>
    </row>
    <row r="56" spans="1:13" x14ac:dyDescent="0.25">
      <c r="A56" s="26" t="s">
        <v>27</v>
      </c>
      <c r="B56" s="104">
        <f>B55</f>
        <v>150</v>
      </c>
      <c r="C56" s="105">
        <v>0.25</v>
      </c>
      <c r="D56" s="106">
        <f>B56*C56</f>
        <v>37.5</v>
      </c>
    </row>
    <row r="57" spans="1:13" ht="14.4" thickBot="1" x14ac:dyDescent="0.3">
      <c r="A57" s="100" t="s">
        <v>29</v>
      </c>
      <c r="B57" s="101"/>
      <c r="C57" s="102"/>
      <c r="D57" s="103">
        <f>SUM(D48:D56)</f>
        <v>280.3</v>
      </c>
      <c r="F57" s="91"/>
    </row>
    <row r="58" spans="1:13" x14ac:dyDescent="0.25">
      <c r="A58" s="18" t="s">
        <v>73</v>
      </c>
      <c r="B58" s="19"/>
      <c r="D58" s="91">
        <v>100000</v>
      </c>
    </row>
    <row r="60" spans="1:13" ht="14.4" thickBot="1" x14ac:dyDescent="0.3">
      <c r="A60" t="s">
        <v>94</v>
      </c>
      <c r="B60">
        <v>2500</v>
      </c>
      <c r="F60" t="str">
        <f>A60</f>
        <v>לפי שומת הררי 2021</v>
      </c>
      <c r="G60">
        <v>3000</v>
      </c>
    </row>
    <row r="61" spans="1:13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25">
      <c r="A64" s="18" t="s">
        <v>31</v>
      </c>
      <c r="B64">
        <v>55</v>
      </c>
      <c r="C64">
        <v>1</v>
      </c>
      <c r="D64" s="21">
        <f t="shared" si="2"/>
        <v>55</v>
      </c>
      <c r="F64" s="18" t="s">
        <v>31</v>
      </c>
      <c r="G64">
        <v>55</v>
      </c>
      <c r="H64">
        <v>1</v>
      </c>
      <c r="I64" s="21">
        <f>H64*G64</f>
        <v>55</v>
      </c>
    </row>
    <row r="65" spans="1:13" x14ac:dyDescent="0.25">
      <c r="A65" s="18" t="s">
        <v>25</v>
      </c>
      <c r="B65" s="40">
        <f>SUM(B62:B64)</f>
        <v>375</v>
      </c>
      <c r="D65" s="21"/>
      <c r="F65" s="18" t="s">
        <v>25</v>
      </c>
      <c r="G65" s="40">
        <f>SUM(G62:G64)</f>
        <v>375</v>
      </c>
      <c r="I65" s="21"/>
    </row>
    <row r="66" spans="1:13" x14ac:dyDescent="0.25">
      <c r="A66" s="18" t="s">
        <v>32</v>
      </c>
      <c r="B66">
        <v>1125</v>
      </c>
      <c r="C66" s="20">
        <v>0.25</v>
      </c>
      <c r="D66" s="21">
        <f t="shared" si="2"/>
        <v>281.25</v>
      </c>
      <c r="F66" s="18" t="s">
        <v>32</v>
      </c>
      <c r="G66">
        <v>1125</v>
      </c>
      <c r="H66" s="20">
        <v>0.25</v>
      </c>
      <c r="I66" s="21">
        <f>H66*G66</f>
        <v>281.25</v>
      </c>
    </row>
    <row r="67" spans="1:13" x14ac:dyDescent="0.25">
      <c r="A67" s="18" t="s">
        <v>52</v>
      </c>
      <c r="B67">
        <f>B60-B65-B66</f>
        <v>1000</v>
      </c>
      <c r="C67" s="20">
        <v>0.15</v>
      </c>
      <c r="D67" s="21">
        <f t="shared" si="2"/>
        <v>150</v>
      </c>
      <c r="F67" s="18" t="s">
        <v>52</v>
      </c>
      <c r="G67">
        <v>1000</v>
      </c>
      <c r="H67" s="20">
        <v>0.15</v>
      </c>
      <c r="I67" s="21">
        <f>H67*G67</f>
        <v>150</v>
      </c>
    </row>
    <row r="68" spans="1:13" x14ac:dyDescent="0.25">
      <c r="A68" s="18"/>
      <c r="C68" s="20"/>
      <c r="D68" s="21"/>
      <c r="F68" s="18" t="s">
        <v>71</v>
      </c>
      <c r="G68">
        <v>500</v>
      </c>
      <c r="H68" s="20">
        <v>0.1</v>
      </c>
      <c r="I68" s="127">
        <f>G68*H68</f>
        <v>50</v>
      </c>
    </row>
    <row r="69" spans="1:13" x14ac:dyDescent="0.25">
      <c r="A69" s="43" t="s">
        <v>29</v>
      </c>
      <c r="B69" s="40">
        <f>SUM(B62:B67)</f>
        <v>2875</v>
      </c>
      <c r="C69" s="40"/>
      <c r="D69" s="44">
        <f>SUM(D62:D67)</f>
        <v>806.25</v>
      </c>
      <c r="F69" s="43" t="s">
        <v>29</v>
      </c>
      <c r="G69" s="40">
        <f>SUM(G62:G68)</f>
        <v>3375</v>
      </c>
      <c r="H69" s="40"/>
      <c r="I69" s="44">
        <f>SUM(I62:I68)</f>
        <v>856.25</v>
      </c>
    </row>
    <row r="70" spans="1:13" ht="14.4" thickBot="1" x14ac:dyDescent="0.3">
      <c r="A70" s="34" t="s">
        <v>30</v>
      </c>
      <c r="B70" s="45"/>
      <c r="C70" s="45"/>
      <c r="D70" s="46">
        <f>D69</f>
        <v>806.25</v>
      </c>
      <c r="E70" s="72"/>
      <c r="F70" s="34" t="s">
        <v>30</v>
      </c>
      <c r="G70" s="45"/>
      <c r="H70" s="45"/>
      <c r="I70" s="46">
        <f>I69</f>
        <v>856.25</v>
      </c>
    </row>
    <row r="71" spans="1:13" x14ac:dyDescent="0.25">
      <c r="A71" t="s">
        <v>64</v>
      </c>
      <c r="D71" s="17">
        <v>175000</v>
      </c>
      <c r="F71" t="s">
        <v>64</v>
      </c>
      <c r="I71" s="17">
        <v>190000</v>
      </c>
    </row>
    <row r="78" spans="1:13" x14ac:dyDescent="0.25">
      <c r="A78" t="s">
        <v>269</v>
      </c>
    </row>
    <row r="79" spans="1:13" x14ac:dyDescent="0.25">
      <c r="A79" s="91">
        <v>350</v>
      </c>
    </row>
    <row r="80" spans="1:13" x14ac:dyDescent="0.25">
      <c r="A80" t="s">
        <v>21</v>
      </c>
      <c r="M80">
        <f>8000*0.85/2</f>
        <v>3400</v>
      </c>
    </row>
    <row r="81" spans="1:1" x14ac:dyDescent="0.25">
      <c r="A81">
        <v>0.15</v>
      </c>
    </row>
    <row r="82" spans="1:1" x14ac:dyDescent="0.25">
      <c r="A82" t="s">
        <v>8</v>
      </c>
    </row>
    <row r="83" spans="1:1" x14ac:dyDescent="0.25">
      <c r="A83" s="72">
        <f>A79*A81</f>
        <v>52.5</v>
      </c>
    </row>
    <row r="85" spans="1:1" x14ac:dyDescent="0.25">
      <c r="A85" t="s">
        <v>270</v>
      </c>
    </row>
    <row r="86" spans="1:1" x14ac:dyDescent="0.25">
      <c r="A86" s="91">
        <f>A79</f>
        <v>350</v>
      </c>
    </row>
    <row r="88" spans="1:1" x14ac:dyDescent="0.25">
      <c r="A88" t="s">
        <v>151</v>
      </c>
    </row>
    <row r="89" spans="1:1" x14ac:dyDescent="0.25">
      <c r="A89" s="72">
        <f>A86-A83</f>
        <v>297.5</v>
      </c>
    </row>
    <row r="91" spans="1:1" x14ac:dyDescent="0.25">
      <c r="A91" t="s">
        <v>152</v>
      </c>
    </row>
    <row r="92" spans="1:1" x14ac:dyDescent="0.25">
      <c r="A92" s="72">
        <f>A89/2</f>
        <v>148.75</v>
      </c>
    </row>
    <row r="93" spans="1:1" x14ac:dyDescent="0.25">
      <c r="A93" t="s">
        <v>271</v>
      </c>
    </row>
    <row r="94" spans="1:1" x14ac:dyDescent="0.25">
      <c r="A94" s="91">
        <f>A92*8000</f>
        <v>1190000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T112"/>
  <sheetViews>
    <sheetView rightToLeft="1" tabSelected="1" zoomScaleNormal="100" workbookViewId="0">
      <selection activeCell="P54" sqref="P54"/>
    </sheetView>
  </sheetViews>
  <sheetFormatPr defaultRowHeight="13.8" x14ac:dyDescent="0.25"/>
  <cols>
    <col min="1" max="1" width="5.296875" customWidth="1"/>
    <col min="2" max="2" width="21.3984375" bestFit="1" customWidth="1"/>
    <col min="3" max="3" width="14.8984375" bestFit="1" customWidth="1"/>
    <col min="4" max="4" width="10.296875" style="17" customWidth="1"/>
    <col min="5" max="5" width="11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2" max="12" width="11.8984375" bestFit="1" customWidth="1"/>
    <col min="18" max="18" width="9.8984375" bestFit="1" customWidth="1"/>
    <col min="20" max="20" width="9.8984375" bestFit="1" customWidth="1"/>
  </cols>
  <sheetData>
    <row r="2" spans="2:20" ht="15.6" x14ac:dyDescent="0.4">
      <c r="B2" s="39" t="s">
        <v>155</v>
      </c>
      <c r="C2" s="39"/>
      <c r="D2" s="130"/>
    </row>
    <row r="3" spans="2:20" x14ac:dyDescent="0.25">
      <c r="B3" t="s">
        <v>93</v>
      </c>
      <c r="C3" s="148"/>
      <c r="D3" s="148"/>
      <c r="G3" s="189"/>
      <c r="H3" s="148"/>
      <c r="I3" s="149"/>
      <c r="J3" s="149"/>
    </row>
    <row r="4" spans="2:20" x14ac:dyDescent="0.25">
      <c r="B4" t="s">
        <v>129</v>
      </c>
      <c r="C4" s="186"/>
      <c r="D4" s="38"/>
      <c r="G4" s="189"/>
      <c r="J4" s="149"/>
    </row>
    <row r="5" spans="2:20" x14ac:dyDescent="0.25">
      <c r="B5" t="s">
        <v>130</v>
      </c>
    </row>
    <row r="6" spans="2:20" x14ac:dyDescent="0.25">
      <c r="B6" t="s">
        <v>131</v>
      </c>
      <c r="C6" s="149"/>
      <c r="D6" s="148"/>
    </row>
    <row r="7" spans="2:20" x14ac:dyDescent="0.25">
      <c r="B7" t="s">
        <v>145</v>
      </c>
      <c r="C7">
        <v>8000</v>
      </c>
    </row>
    <row r="8" spans="2:20" x14ac:dyDescent="0.25">
      <c r="C8" s="149"/>
    </row>
    <row r="9" spans="2:20" x14ac:dyDescent="0.25">
      <c r="B9" s="39" t="s">
        <v>132</v>
      </c>
      <c r="C9" s="150"/>
    </row>
    <row r="10" spans="2:20" ht="27.6" x14ac:dyDescent="0.4">
      <c r="B10" s="39" t="s">
        <v>134</v>
      </c>
      <c r="C10" s="39" t="s">
        <v>133</v>
      </c>
      <c r="D10" s="130" t="s">
        <v>135</v>
      </c>
      <c r="E10" s="130" t="s">
        <v>136</v>
      </c>
      <c r="F10" s="130" t="s">
        <v>137</v>
      </c>
      <c r="G10" s="130" t="s">
        <v>138</v>
      </c>
      <c r="H10" s="188" t="s">
        <v>139</v>
      </c>
      <c r="I10" s="130" t="s">
        <v>140</v>
      </c>
      <c r="J10" s="130" t="s">
        <v>141</v>
      </c>
      <c r="K10" s="130" t="s">
        <v>142</v>
      </c>
      <c r="L10" s="130" t="s">
        <v>143</v>
      </c>
      <c r="M10" s="130" t="s">
        <v>144</v>
      </c>
    </row>
    <row r="11" spans="2:20" x14ac:dyDescent="0.25">
      <c r="B11" s="187"/>
    </row>
    <row r="12" spans="2:20" ht="14.4" thickBot="1" x14ac:dyDescent="0.3">
      <c r="B12" s="187"/>
    </row>
    <row r="13" spans="2:20" x14ac:dyDescent="0.25">
      <c r="B13" s="187"/>
      <c r="J13" s="245" t="s">
        <v>264</v>
      </c>
      <c r="K13" s="12"/>
      <c r="L13" s="12"/>
      <c r="M13" s="12"/>
      <c r="N13" s="12"/>
      <c r="O13" s="12"/>
      <c r="P13" s="12"/>
      <c r="Q13" s="12"/>
      <c r="R13" s="12"/>
      <c r="S13" s="12"/>
      <c r="T13" s="13"/>
    </row>
    <row r="14" spans="2:20" x14ac:dyDescent="0.25">
      <c r="B14" s="187"/>
      <c r="J14" s="18"/>
      <c r="T14" s="21"/>
    </row>
    <row r="15" spans="2:20" x14ac:dyDescent="0.25">
      <c r="B15" s="187"/>
      <c r="J15" s="18"/>
      <c r="T15" s="21"/>
    </row>
    <row r="16" spans="2:20" ht="14.4" thickBot="1" x14ac:dyDescent="0.3">
      <c r="B16" s="187"/>
      <c r="J16" s="18" t="s">
        <v>260</v>
      </c>
      <c r="L16">
        <v>4341333</v>
      </c>
      <c r="T16" s="21"/>
    </row>
    <row r="17" spans="2:20" ht="14.4" thickBot="1" x14ac:dyDescent="0.3">
      <c r="B17" s="187"/>
      <c r="J17" s="241" t="s">
        <v>229</v>
      </c>
      <c r="K17" s="218"/>
      <c r="L17" s="242">
        <v>44927</v>
      </c>
      <c r="T17" s="21"/>
    </row>
    <row r="18" spans="2:20" x14ac:dyDescent="0.25">
      <c r="J18" s="18" t="s">
        <v>231</v>
      </c>
      <c r="L18">
        <v>1.1000000000000001</v>
      </c>
      <c r="T18" s="21"/>
    </row>
    <row r="19" spans="2:20" ht="14.4" thickBot="1" x14ac:dyDescent="0.3">
      <c r="D19"/>
      <c r="E19"/>
      <c r="F19"/>
      <c r="J19" s="18" t="s">
        <v>232</v>
      </c>
      <c r="L19">
        <f>L16*L18</f>
        <v>4775466.3000000007</v>
      </c>
      <c r="T19" s="21"/>
    </row>
    <row r="20" spans="2:20" x14ac:dyDescent="0.25">
      <c r="B20" s="10"/>
      <c r="C20" s="221"/>
      <c r="D20" s="11"/>
      <c r="E20" s="11"/>
      <c r="F20" s="11"/>
      <c r="G20" s="12"/>
      <c r="H20" s="13"/>
      <c r="J20" s="18" t="s">
        <v>261</v>
      </c>
      <c r="L20">
        <f>L19*1.18</f>
        <v>5635050.2340000002</v>
      </c>
      <c r="T20" s="21"/>
    </row>
    <row r="21" spans="2:20" ht="14.4" thickBot="1" x14ac:dyDescent="0.3">
      <c r="B21" s="299" t="s">
        <v>263</v>
      </c>
      <c r="C21" s="300"/>
      <c r="D21" s="19"/>
      <c r="E21" s="19"/>
      <c r="F21" s="19"/>
      <c r="H21" s="21"/>
      <c r="J21" s="18" t="s">
        <v>262</v>
      </c>
      <c r="L21">
        <v>806</v>
      </c>
      <c r="T21" s="21"/>
    </row>
    <row r="22" spans="2:20" ht="14.4" thickBot="1" x14ac:dyDescent="0.3">
      <c r="B22" s="18"/>
      <c r="C22" s="222"/>
      <c r="D22" s="19"/>
      <c r="E22" s="19"/>
      <c r="F22" s="19"/>
      <c r="H22" s="21"/>
      <c r="J22" s="217" t="s">
        <v>255</v>
      </c>
      <c r="K22" s="218"/>
      <c r="L22" s="244">
        <f>L20/L21</f>
        <v>6991.3774615384618</v>
      </c>
      <c r="T22" s="21"/>
    </row>
    <row r="23" spans="2:20" x14ac:dyDescent="0.25">
      <c r="B23" s="18"/>
      <c r="C23" s="19"/>
      <c r="D23" s="19"/>
      <c r="E23" s="19"/>
      <c r="F23" s="19"/>
      <c r="H23" s="21"/>
      <c r="J23" s="18"/>
      <c r="T23" s="21"/>
    </row>
    <row r="24" spans="2:20" x14ac:dyDescent="0.25">
      <c r="B24" s="18"/>
      <c r="D24" s="19"/>
      <c r="E24" s="19"/>
      <c r="F24" s="19"/>
      <c r="H24" s="21"/>
      <c r="J24" s="18"/>
      <c r="T24" s="21"/>
    </row>
    <row r="25" spans="2:20" x14ac:dyDescent="0.25">
      <c r="B25" s="18"/>
      <c r="C25" s="149"/>
      <c r="D25" s="19"/>
      <c r="E25" s="19"/>
      <c r="F25" s="19"/>
      <c r="H25" s="21"/>
      <c r="J25" s="18"/>
      <c r="T25" s="21"/>
    </row>
    <row r="26" spans="2:20" x14ac:dyDescent="0.25">
      <c r="B26" s="18"/>
      <c r="C26" s="149"/>
      <c r="D26" s="19"/>
      <c r="E26" s="19"/>
      <c r="F26" s="19"/>
      <c r="H26" s="21"/>
      <c r="J26" s="18"/>
      <c r="T26" s="21"/>
    </row>
    <row r="27" spans="2:20" x14ac:dyDescent="0.25">
      <c r="B27" s="18"/>
      <c r="C27" s="149"/>
      <c r="D27" s="19"/>
      <c r="E27" s="19"/>
      <c r="F27" s="19"/>
      <c r="H27" s="21"/>
      <c r="J27" s="18"/>
      <c r="T27" s="21"/>
    </row>
    <row r="28" spans="2:20" x14ac:dyDescent="0.25">
      <c r="B28" s="18"/>
      <c r="D28" s="19"/>
      <c r="E28" s="19"/>
      <c r="F28" s="19"/>
      <c r="H28" s="21"/>
      <c r="J28" s="18"/>
      <c r="T28" s="21"/>
    </row>
    <row r="29" spans="2:20" ht="14.4" thickBot="1" x14ac:dyDescent="0.3">
      <c r="B29" s="18"/>
      <c r="D29" s="19"/>
      <c r="E29" s="19"/>
      <c r="F29" s="19"/>
      <c r="H29" s="21"/>
      <c r="J29" s="18"/>
      <c r="T29" s="21"/>
    </row>
    <row r="30" spans="2:20" ht="14.4" thickBot="1" x14ac:dyDescent="0.3">
      <c r="B30" s="217" t="s">
        <v>229</v>
      </c>
      <c r="C30" s="243">
        <v>44652</v>
      </c>
      <c r="D30" s="19"/>
      <c r="E30" s="19"/>
      <c r="F30" s="19"/>
      <c r="H30" s="21"/>
      <c r="J30" s="18"/>
      <c r="T30" s="21"/>
    </row>
    <row r="31" spans="2:20" x14ac:dyDescent="0.25">
      <c r="B31" s="18" t="s">
        <v>230</v>
      </c>
      <c r="C31" s="222">
        <v>6350</v>
      </c>
      <c r="D31" s="19"/>
      <c r="E31" s="19"/>
      <c r="F31" s="19"/>
      <c r="H31" s="21"/>
      <c r="J31" s="18"/>
      <c r="T31" s="21"/>
    </row>
    <row r="32" spans="2:20" ht="14.4" thickBot="1" x14ac:dyDescent="0.3">
      <c r="B32" s="18" t="s">
        <v>231</v>
      </c>
      <c r="C32">
        <f>1.07^3</f>
        <v>1.2250430000000001</v>
      </c>
      <c r="D32" s="19"/>
      <c r="E32" s="19"/>
      <c r="F32" s="19"/>
      <c r="H32" s="21"/>
      <c r="J32" s="18"/>
      <c r="T32" s="21"/>
    </row>
    <row r="33" spans="2:20" ht="14.4" thickBot="1" x14ac:dyDescent="0.3">
      <c r="B33" s="217" t="s">
        <v>265</v>
      </c>
      <c r="C33" s="227">
        <f>C32*C31</f>
        <v>7779.0230500000007</v>
      </c>
      <c r="D33" s="19"/>
      <c r="E33" s="19"/>
      <c r="F33" s="19"/>
      <c r="H33" s="21"/>
      <c r="J33" s="18"/>
      <c r="T33" s="21"/>
    </row>
    <row r="34" spans="2:20" x14ac:dyDescent="0.25">
      <c r="B34" s="18"/>
      <c r="D34" s="19"/>
      <c r="E34" s="19"/>
      <c r="F34" s="19"/>
      <c r="H34" s="21"/>
      <c r="J34" s="18"/>
      <c r="T34" s="21"/>
    </row>
    <row r="35" spans="2:20" x14ac:dyDescent="0.25">
      <c r="B35" s="18"/>
      <c r="D35" s="19"/>
      <c r="E35" s="19"/>
      <c r="F35" s="19"/>
      <c r="H35" s="21"/>
      <c r="J35" s="18"/>
      <c r="T35" s="21"/>
    </row>
    <row r="36" spans="2:20" x14ac:dyDescent="0.25">
      <c r="B36" s="18"/>
      <c r="D36" s="19"/>
      <c r="E36" s="19"/>
      <c r="F36" s="19"/>
      <c r="H36" s="21"/>
      <c r="J36" s="18"/>
      <c r="T36" s="21"/>
    </row>
    <row r="37" spans="2:20" x14ac:dyDescent="0.25">
      <c r="B37" s="18"/>
      <c r="D37" s="19"/>
      <c r="E37" s="19"/>
      <c r="F37" s="19"/>
      <c r="H37" s="21"/>
      <c r="J37" s="18"/>
      <c r="T37" s="21"/>
    </row>
    <row r="38" spans="2:20" x14ac:dyDescent="0.25">
      <c r="B38" s="18"/>
      <c r="D38" s="19"/>
      <c r="E38" s="19"/>
      <c r="F38" s="19"/>
      <c r="H38" s="21"/>
      <c r="J38" s="18"/>
      <c r="T38" s="21"/>
    </row>
    <row r="39" spans="2:20" ht="14.4" thickBot="1" x14ac:dyDescent="0.3">
      <c r="B39" s="223"/>
      <c r="C39" s="224"/>
      <c r="D39" s="225"/>
      <c r="E39" s="225"/>
      <c r="F39" s="225"/>
      <c r="G39" s="224"/>
      <c r="H39" s="226"/>
      <c r="J39" s="223"/>
      <c r="K39" s="224"/>
      <c r="L39" s="224"/>
      <c r="M39" s="224"/>
      <c r="N39" s="224"/>
      <c r="O39" s="224"/>
      <c r="P39" s="224"/>
      <c r="Q39" s="224"/>
      <c r="R39" s="224"/>
      <c r="S39" s="224"/>
      <c r="T39" s="226"/>
    </row>
    <row r="40" spans="2:20" x14ac:dyDescent="0.25">
      <c r="D40"/>
      <c r="E40"/>
      <c r="F40"/>
    </row>
    <row r="41" spans="2:20" x14ac:dyDescent="0.25">
      <c r="D41"/>
      <c r="E41"/>
      <c r="F41"/>
    </row>
    <row r="42" spans="2:20" x14ac:dyDescent="0.25">
      <c r="D42"/>
      <c r="E42"/>
      <c r="F42"/>
    </row>
    <row r="43" spans="2:20" ht="14.4" thickBot="1" x14ac:dyDescent="0.3">
      <c r="D43"/>
      <c r="E43"/>
      <c r="F43"/>
    </row>
    <row r="44" spans="2:20" ht="27" thickBot="1" x14ac:dyDescent="0.3">
      <c r="B44" s="228" t="s">
        <v>233</v>
      </c>
      <c r="C44" s="228" t="s">
        <v>234</v>
      </c>
      <c r="D44" s="228" t="s">
        <v>235</v>
      </c>
      <c r="E44" s="228" t="s">
        <v>236</v>
      </c>
      <c r="F44" s="228" t="s">
        <v>237</v>
      </c>
      <c r="G44" s="228" t="s">
        <v>238</v>
      </c>
      <c r="H44" s="228" t="s">
        <v>239</v>
      </c>
      <c r="I44" s="228" t="s">
        <v>240</v>
      </c>
      <c r="J44" s="228" t="s">
        <v>138</v>
      </c>
      <c r="K44" s="228" t="s">
        <v>241</v>
      </c>
      <c r="L44" s="229" t="s">
        <v>242</v>
      </c>
      <c r="M44" s="230" t="s">
        <v>243</v>
      </c>
    </row>
    <row r="45" spans="2:20" ht="14.4" thickBot="1" x14ac:dyDescent="0.3">
      <c r="B45" s="231">
        <v>2</v>
      </c>
      <c r="C45" s="231" t="s">
        <v>244</v>
      </c>
      <c r="D45" s="232">
        <v>45503</v>
      </c>
      <c r="E45" s="233">
        <v>3100000</v>
      </c>
      <c r="F45" s="233">
        <v>3100000</v>
      </c>
      <c r="G45" s="231" t="s">
        <v>42</v>
      </c>
      <c r="H45" s="231">
        <v>1</v>
      </c>
      <c r="I45" s="231" t="s">
        <v>245</v>
      </c>
      <c r="J45" s="231">
        <v>0</v>
      </c>
      <c r="K45" s="231">
        <v>517</v>
      </c>
      <c r="L45" s="233">
        <v>0</v>
      </c>
      <c r="M45" s="233">
        <f>F45</f>
        <v>3100000</v>
      </c>
    </row>
    <row r="46" spans="2:20" x14ac:dyDescent="0.25">
      <c r="C46" s="234"/>
      <c r="D46"/>
      <c r="E46"/>
      <c r="F46"/>
    </row>
    <row r="47" spans="2:20" x14ac:dyDescent="0.25">
      <c r="C47" s="304"/>
      <c r="D47" s="305"/>
      <c r="E47" s="305"/>
      <c r="F47" s="305"/>
      <c r="G47" s="305"/>
      <c r="H47" s="305"/>
      <c r="I47" s="305"/>
      <c r="J47" s="305"/>
      <c r="K47" s="305"/>
      <c r="L47" s="305"/>
    </row>
    <row r="48" spans="2:20" x14ac:dyDescent="0.25">
      <c r="C48" s="235"/>
      <c r="D48"/>
      <c r="E48"/>
      <c r="F48"/>
    </row>
    <row r="49" spans="2:6" ht="14.4" thickBot="1" x14ac:dyDescent="0.3">
      <c r="C49" s="235"/>
      <c r="D49"/>
      <c r="E49"/>
      <c r="F49"/>
    </row>
    <row r="50" spans="2:6" x14ac:dyDescent="0.25">
      <c r="B50" s="306" t="s">
        <v>246</v>
      </c>
      <c r="C50" s="307"/>
      <c r="D50" s="307"/>
      <c r="E50" s="308"/>
      <c r="F50" t="s">
        <v>247</v>
      </c>
    </row>
    <row r="51" spans="2:6" x14ac:dyDescent="0.25">
      <c r="B51" s="236" t="s">
        <v>238</v>
      </c>
      <c r="C51" s="236" t="s">
        <v>241</v>
      </c>
      <c r="D51" s="236" t="s">
        <v>21</v>
      </c>
      <c r="E51" s="236" t="s">
        <v>8</v>
      </c>
      <c r="F51">
        <v>500</v>
      </c>
    </row>
    <row r="52" spans="2:6" x14ac:dyDescent="0.25">
      <c r="B52" s="236" t="s">
        <v>53</v>
      </c>
      <c r="C52" s="236">
        <v>200</v>
      </c>
      <c r="D52" s="236">
        <v>1</v>
      </c>
      <c r="E52" s="236">
        <f>D52*C52</f>
        <v>200</v>
      </c>
      <c r="F52"/>
    </row>
    <row r="53" spans="2:6" x14ac:dyDescent="0.25">
      <c r="B53" s="236" t="s">
        <v>248</v>
      </c>
      <c r="C53" s="236">
        <v>12</v>
      </c>
      <c r="D53" s="236">
        <v>1</v>
      </c>
      <c r="E53" s="236">
        <f t="shared" ref="E53:E56" si="0">D53*C53</f>
        <v>12</v>
      </c>
      <c r="F53"/>
    </row>
    <row r="54" spans="2:6" x14ac:dyDescent="0.25">
      <c r="B54" s="236" t="s">
        <v>95</v>
      </c>
      <c r="C54" s="236">
        <f>F51*0.08-C53</f>
        <v>28</v>
      </c>
      <c r="D54" s="236">
        <v>0.5</v>
      </c>
      <c r="E54" s="236">
        <f t="shared" si="0"/>
        <v>14</v>
      </c>
      <c r="F54"/>
    </row>
    <row r="55" spans="2:6" x14ac:dyDescent="0.25">
      <c r="B55" s="236" t="s">
        <v>249</v>
      </c>
      <c r="C55" s="236">
        <v>90</v>
      </c>
      <c r="D55" s="236">
        <v>0.4</v>
      </c>
      <c r="E55" s="236">
        <f t="shared" si="0"/>
        <v>36</v>
      </c>
      <c r="F55"/>
    </row>
    <row r="56" spans="2:6" x14ac:dyDescent="0.25">
      <c r="B56" s="236" t="s">
        <v>51</v>
      </c>
      <c r="C56" s="236">
        <f>F51-220</f>
        <v>280</v>
      </c>
      <c r="D56" s="236">
        <v>0.25</v>
      </c>
      <c r="E56" s="236">
        <f t="shared" si="0"/>
        <v>70</v>
      </c>
      <c r="F56"/>
    </row>
    <row r="57" spans="2:6" x14ac:dyDescent="0.25">
      <c r="B57" s="309" t="s">
        <v>250</v>
      </c>
      <c r="C57" s="310"/>
      <c r="D57" s="311"/>
      <c r="E57" s="237">
        <f>SUM(E52:E56)</f>
        <v>332</v>
      </c>
      <c r="F57"/>
    </row>
    <row r="58" spans="2:6" x14ac:dyDescent="0.25">
      <c r="B58" s="309" t="s">
        <v>251</v>
      </c>
      <c r="C58" s="310"/>
      <c r="D58" s="311"/>
      <c r="E58" s="238">
        <f>M45</f>
        <v>3100000</v>
      </c>
      <c r="F58"/>
    </row>
    <row r="59" spans="2:6" x14ac:dyDescent="0.25">
      <c r="B59" s="309" t="s">
        <v>252</v>
      </c>
      <c r="C59" s="310"/>
      <c r="D59" s="311"/>
      <c r="E59" s="240">
        <f>E58/E57</f>
        <v>9337.3493975903621</v>
      </c>
      <c r="F59"/>
    </row>
    <row r="60" spans="2:6" ht="14.4" thickBot="1" x14ac:dyDescent="0.3">
      <c r="B60" s="314" t="s">
        <v>258</v>
      </c>
      <c r="C60" s="314"/>
      <c r="D60" s="314"/>
      <c r="E60">
        <v>0.85</v>
      </c>
      <c r="F60"/>
    </row>
    <row r="61" spans="2:6" ht="14.4" thickBot="1" x14ac:dyDescent="0.3">
      <c r="B61" s="217"/>
      <c r="C61" s="218" t="s">
        <v>259</v>
      </c>
      <c r="D61" s="218"/>
      <c r="E61" s="250">
        <f>E60*E59</f>
        <v>7936.7469879518076</v>
      </c>
      <c r="F61"/>
    </row>
    <row r="62" spans="2:6" x14ac:dyDescent="0.25">
      <c r="D62"/>
      <c r="E62"/>
      <c r="F62"/>
    </row>
    <row r="65" spans="2:12" ht="14.4" thickBot="1" x14ac:dyDescent="0.3"/>
    <row r="66" spans="2:12" x14ac:dyDescent="0.25">
      <c r="B66" s="245" t="s">
        <v>266</v>
      </c>
      <c r="C66" s="12"/>
      <c r="D66" s="11"/>
      <c r="E66" s="11"/>
      <c r="F66" s="11"/>
      <c r="G66" s="12"/>
      <c r="H66" s="12"/>
      <c r="I66" s="12"/>
      <c r="J66" s="12"/>
      <c r="K66" s="12"/>
      <c r="L66" s="13"/>
    </row>
    <row r="67" spans="2:12" ht="14.4" thickBot="1" x14ac:dyDescent="0.3">
      <c r="B67" s="18"/>
      <c r="D67" s="19"/>
      <c r="E67" s="19"/>
      <c r="F67" s="19"/>
      <c r="L67" s="21"/>
    </row>
    <row r="68" spans="2:12" x14ac:dyDescent="0.25">
      <c r="B68" s="10" t="s">
        <v>19</v>
      </c>
      <c r="C68" s="11">
        <v>2500</v>
      </c>
      <c r="D68" s="12" t="s">
        <v>128</v>
      </c>
      <c r="E68" s="13"/>
      <c r="F68" s="19"/>
      <c r="L68" s="21"/>
    </row>
    <row r="69" spans="2:12" x14ac:dyDescent="0.25">
      <c r="B69" s="14"/>
      <c r="C69" s="15" t="s">
        <v>20</v>
      </c>
      <c r="D69" s="15" t="s">
        <v>21</v>
      </c>
      <c r="E69" s="16" t="s">
        <v>22</v>
      </c>
      <c r="F69" s="19"/>
      <c r="L69" s="21"/>
    </row>
    <row r="70" spans="2:12" x14ac:dyDescent="0.25">
      <c r="B70" s="18" t="s">
        <v>53</v>
      </c>
      <c r="C70" s="19">
        <v>450</v>
      </c>
      <c r="D70" s="20">
        <v>1</v>
      </c>
      <c r="E70" s="21">
        <f>D70*C70</f>
        <v>450</v>
      </c>
      <c r="F70" s="19"/>
      <c r="L70" s="21"/>
    </row>
    <row r="71" spans="2:12" x14ac:dyDescent="0.25">
      <c r="B71" s="18" t="s">
        <v>23</v>
      </c>
      <c r="C71" s="19">
        <v>25</v>
      </c>
      <c r="D71" s="20">
        <v>0.9</v>
      </c>
      <c r="E71" s="21">
        <f>D71*C71</f>
        <v>22.5</v>
      </c>
      <c r="F71" s="19"/>
      <c r="L71" s="21"/>
    </row>
    <row r="72" spans="2:12" x14ac:dyDescent="0.25">
      <c r="B72" s="18" t="s">
        <v>95</v>
      </c>
      <c r="C72" s="19">
        <v>125</v>
      </c>
      <c r="D72" s="20">
        <v>0.4</v>
      </c>
      <c r="E72" s="21">
        <f>D72*C72</f>
        <v>50</v>
      </c>
      <c r="F72" s="19"/>
      <c r="L72" s="21"/>
    </row>
    <row r="73" spans="2:12" x14ac:dyDescent="0.25">
      <c r="B73" s="18" t="s">
        <v>24</v>
      </c>
      <c r="C73" s="19"/>
      <c r="D73" s="20">
        <v>0.5</v>
      </c>
      <c r="E73" s="21">
        <f>D73*C73</f>
        <v>0</v>
      </c>
      <c r="F73" s="19"/>
      <c r="L73" s="21"/>
    </row>
    <row r="74" spans="2:12" x14ac:dyDescent="0.25">
      <c r="B74" s="22" t="s">
        <v>25</v>
      </c>
      <c r="C74" s="23">
        <f>SUM(C70:C73)</f>
        <v>600</v>
      </c>
      <c r="D74" s="24"/>
      <c r="E74" s="25"/>
      <c r="F74" s="19"/>
      <c r="L74" s="21"/>
    </row>
    <row r="75" spans="2:12" x14ac:dyDescent="0.25">
      <c r="B75" s="26" t="s">
        <v>26</v>
      </c>
      <c r="C75" s="27">
        <f>C68-C74</f>
        <v>1900</v>
      </c>
      <c r="D75" s="28"/>
      <c r="E75" s="29"/>
      <c r="F75" s="19"/>
      <c r="L75" s="21"/>
    </row>
    <row r="76" spans="2:12" x14ac:dyDescent="0.25">
      <c r="B76" s="22" t="s">
        <v>27</v>
      </c>
      <c r="C76" s="23">
        <v>1000</v>
      </c>
      <c r="D76" s="24">
        <v>0.25</v>
      </c>
      <c r="E76" s="25">
        <f>D76*C76</f>
        <v>250</v>
      </c>
      <c r="F76" s="19"/>
      <c r="L76" s="21"/>
    </row>
    <row r="77" spans="2:12" x14ac:dyDescent="0.25">
      <c r="B77" s="18" t="s">
        <v>28</v>
      </c>
      <c r="C77" s="19">
        <f>C75-C76</f>
        <v>900</v>
      </c>
      <c r="D77" s="20">
        <v>0.2</v>
      </c>
      <c r="E77" s="21">
        <f>D77*C77</f>
        <v>180</v>
      </c>
      <c r="F77" s="19"/>
      <c r="L77" s="21"/>
    </row>
    <row r="78" spans="2:12" x14ac:dyDescent="0.25">
      <c r="B78" s="18"/>
      <c r="C78" s="19"/>
      <c r="D78" s="20"/>
      <c r="E78" s="21"/>
      <c r="F78" s="19"/>
      <c r="L78" s="21"/>
    </row>
    <row r="79" spans="2:12" x14ac:dyDescent="0.25">
      <c r="B79" s="30" t="s">
        <v>29</v>
      </c>
      <c r="C79" s="31">
        <f>SUM(C70:C77)</f>
        <v>5000</v>
      </c>
      <c r="D79" s="32"/>
      <c r="E79" s="33">
        <f>SUM(E70:E78)</f>
        <v>952.5</v>
      </c>
      <c r="F79" s="19"/>
      <c r="L79" s="21"/>
    </row>
    <row r="80" spans="2:12" ht="14.4" thickBot="1" x14ac:dyDescent="0.3">
      <c r="B80" s="34" t="s">
        <v>30</v>
      </c>
      <c r="C80" s="35"/>
      <c r="D80" s="36"/>
      <c r="E80" s="37">
        <f>E79</f>
        <v>952.5</v>
      </c>
      <c r="F80" s="19"/>
      <c r="L80" s="21"/>
    </row>
    <row r="81" spans="2:12" ht="14.4" thickBot="1" x14ac:dyDescent="0.3">
      <c r="B81" s="18"/>
      <c r="D81" s="19"/>
      <c r="E81" s="19"/>
      <c r="F81" s="19"/>
      <c r="L81" s="21"/>
    </row>
    <row r="82" spans="2:12" x14ac:dyDescent="0.25">
      <c r="B82" s="10" t="s">
        <v>67</v>
      </c>
      <c r="C82" s="11">
        <v>2500</v>
      </c>
      <c r="D82" s="12" t="s">
        <v>96</v>
      </c>
      <c r="E82" s="13"/>
      <c r="F82" s="19"/>
      <c r="L82" s="21"/>
    </row>
    <row r="83" spans="2:12" x14ac:dyDescent="0.25">
      <c r="B83" s="14"/>
      <c r="C83" s="15" t="s">
        <v>20</v>
      </c>
      <c r="D83" s="15" t="s">
        <v>21</v>
      </c>
      <c r="E83" s="16" t="s">
        <v>22</v>
      </c>
      <c r="F83" s="19"/>
      <c r="L83" s="21"/>
    </row>
    <row r="84" spans="2:12" x14ac:dyDescent="0.25">
      <c r="B84" s="18" t="s">
        <v>53</v>
      </c>
      <c r="C84" s="19">
        <v>200</v>
      </c>
      <c r="D84" s="20">
        <v>1</v>
      </c>
      <c r="E84" s="21">
        <f>D84*C84</f>
        <v>200</v>
      </c>
      <c r="F84" s="19"/>
      <c r="L84" s="21"/>
    </row>
    <row r="85" spans="2:12" x14ac:dyDescent="0.25">
      <c r="B85" s="18" t="s">
        <v>66</v>
      </c>
      <c r="C85" s="19">
        <v>7</v>
      </c>
      <c r="D85" s="20">
        <v>0.9</v>
      </c>
      <c r="E85" s="21">
        <f>D85*C85</f>
        <v>6.3</v>
      </c>
      <c r="F85" s="19"/>
      <c r="L85" s="21"/>
    </row>
    <row r="86" spans="2:12" x14ac:dyDescent="0.25">
      <c r="B86" s="18" t="s">
        <v>97</v>
      </c>
      <c r="C86" s="19">
        <f>30-C85</f>
        <v>23</v>
      </c>
      <c r="D86" s="20">
        <v>0.5</v>
      </c>
      <c r="E86" s="21">
        <f>D86*C86</f>
        <v>11.5</v>
      </c>
      <c r="F86" s="19"/>
      <c r="L86" s="21"/>
    </row>
    <row r="87" spans="2:12" x14ac:dyDescent="0.25">
      <c r="B87" s="18" t="s">
        <v>98</v>
      </c>
      <c r="C87" s="19">
        <v>50</v>
      </c>
      <c r="D87" s="20">
        <v>0.3</v>
      </c>
      <c r="E87" s="21">
        <f>D87*C87</f>
        <v>15</v>
      </c>
      <c r="F87" s="19"/>
      <c r="L87" s="21"/>
    </row>
    <row r="88" spans="2:12" x14ac:dyDescent="0.25">
      <c r="B88" s="18"/>
      <c r="C88" s="19"/>
      <c r="D88" s="20"/>
      <c r="E88" s="21"/>
      <c r="F88" s="19"/>
      <c r="L88" s="21"/>
    </row>
    <row r="89" spans="2:12" x14ac:dyDescent="0.25">
      <c r="B89" s="18"/>
      <c r="C89" s="19"/>
      <c r="D89" s="20"/>
      <c r="E89" s="21"/>
      <c r="F89" s="19"/>
      <c r="L89" s="21"/>
    </row>
    <row r="90" spans="2:12" x14ac:dyDescent="0.25">
      <c r="B90" s="22" t="s">
        <v>68</v>
      </c>
      <c r="C90" s="23">
        <f>-SUM(C84:C86)</f>
        <v>-230</v>
      </c>
      <c r="D90" s="24">
        <v>0.2</v>
      </c>
      <c r="E90" s="25">
        <f>C90*D90</f>
        <v>-46</v>
      </c>
      <c r="F90" s="19"/>
      <c r="L90" s="21"/>
    </row>
    <row r="91" spans="2:12" x14ac:dyDescent="0.25">
      <c r="B91" s="18" t="s">
        <v>30</v>
      </c>
      <c r="C91" s="19"/>
      <c r="D91" s="20"/>
      <c r="E91" s="21">
        <f>SUM(E84:E90)</f>
        <v>186.8</v>
      </c>
      <c r="F91" s="19"/>
      <c r="L91" s="21"/>
    </row>
    <row r="92" spans="2:12" x14ac:dyDescent="0.25">
      <c r="B92" s="30" t="s">
        <v>87</v>
      </c>
      <c r="C92" s="254">
        <v>0.05</v>
      </c>
      <c r="D92" s="32" t="s">
        <v>268</v>
      </c>
      <c r="E92" s="239">
        <f>1/1.05^5</f>
        <v>0.78352616646845896</v>
      </c>
      <c r="F92" s="19"/>
      <c r="L92" s="21"/>
    </row>
    <row r="93" spans="2:12" ht="14.4" thickBot="1" x14ac:dyDescent="0.3">
      <c r="B93" s="34" t="s">
        <v>30</v>
      </c>
      <c r="C93" s="35"/>
      <c r="D93" s="36"/>
      <c r="E93" s="37">
        <f>E92*E91</f>
        <v>146.36268789630813</v>
      </c>
      <c r="F93" s="19"/>
      <c r="L93" s="21"/>
    </row>
    <row r="94" spans="2:12" x14ac:dyDescent="0.25">
      <c r="B94" s="18"/>
      <c r="D94" s="19"/>
      <c r="E94" s="19"/>
      <c r="F94" s="19"/>
      <c r="L94" s="21"/>
    </row>
    <row r="95" spans="2:12" x14ac:dyDescent="0.25">
      <c r="B95" s="18"/>
      <c r="D95" s="19"/>
      <c r="E95" s="19"/>
      <c r="F95" s="19"/>
      <c r="L95" s="21"/>
    </row>
    <row r="96" spans="2:12" x14ac:dyDescent="0.25">
      <c r="B96" s="312" t="s">
        <v>8</v>
      </c>
      <c r="C96" s="313"/>
      <c r="D96" s="313"/>
      <c r="E96" s="19">
        <f>E93+E80</f>
        <v>1098.8626878963082</v>
      </c>
      <c r="F96" s="19"/>
      <c r="L96" s="21"/>
    </row>
    <row r="97" spans="2:12" x14ac:dyDescent="0.25">
      <c r="B97" s="18"/>
      <c r="D97" s="19"/>
      <c r="E97" s="19"/>
      <c r="F97" s="19"/>
      <c r="L97" s="21"/>
    </row>
    <row r="98" spans="2:12" ht="14.4" thickBot="1" x14ac:dyDescent="0.3">
      <c r="B98" s="18"/>
      <c r="C98" t="s">
        <v>253</v>
      </c>
      <c r="D98" s="19"/>
      <c r="E98" s="19">
        <f>5683411</f>
        <v>5683411</v>
      </c>
      <c r="F98" s="19"/>
      <c r="L98" s="21"/>
    </row>
    <row r="99" spans="2:12" ht="14.4" thickBot="1" x14ac:dyDescent="0.3">
      <c r="B99" s="18"/>
      <c r="C99" s="217" t="s">
        <v>229</v>
      </c>
      <c r="D99" s="248"/>
      <c r="E99" s="249">
        <v>44844</v>
      </c>
      <c r="F99" s="19"/>
      <c r="L99" s="21"/>
    </row>
    <row r="100" spans="2:12" x14ac:dyDescent="0.25">
      <c r="B100" s="18"/>
      <c r="C100" t="s">
        <v>21</v>
      </c>
      <c r="D100" s="19"/>
      <c r="E100" s="20">
        <f>1.07^2.5</f>
        <v>1.1842937687499671</v>
      </c>
      <c r="F100" s="19"/>
      <c r="L100" s="21"/>
    </row>
    <row r="101" spans="2:12" x14ac:dyDescent="0.25">
      <c r="B101" s="18"/>
      <c r="C101" t="s">
        <v>232</v>
      </c>
      <c r="D101" s="19"/>
      <c r="E101" s="19">
        <f>E100*E98</f>
        <v>6730828.2325450191</v>
      </c>
      <c r="F101" s="19"/>
      <c r="L101" s="21"/>
    </row>
    <row r="102" spans="2:12" x14ac:dyDescent="0.25">
      <c r="B102" s="18"/>
      <c r="C102" t="s">
        <v>254</v>
      </c>
      <c r="D102" s="19"/>
      <c r="E102" s="19">
        <f>E101*1.18</f>
        <v>7942377.3144031223</v>
      </c>
      <c r="F102" s="19"/>
      <c r="L102" s="21"/>
    </row>
    <row r="103" spans="2:12" ht="14.4" thickBot="1" x14ac:dyDescent="0.3">
      <c r="B103" s="18"/>
      <c r="C103" t="s">
        <v>143</v>
      </c>
      <c r="D103" s="19"/>
      <c r="E103" s="19">
        <f>E96</f>
        <v>1098.8626878963082</v>
      </c>
      <c r="F103" s="19"/>
      <c r="L103" s="21"/>
    </row>
    <row r="104" spans="2:12" ht="14.4" thickBot="1" x14ac:dyDescent="0.3">
      <c r="B104" s="18"/>
      <c r="C104" s="251" t="s">
        <v>255</v>
      </c>
      <c r="D104" s="252"/>
      <c r="E104" s="253">
        <f>E102/E103</f>
        <v>7227.8159972909989</v>
      </c>
      <c r="F104" s="19"/>
      <c r="L104" s="21"/>
    </row>
    <row r="105" spans="2:12" ht="14.4" thickBot="1" x14ac:dyDescent="0.3">
      <c r="B105" s="223"/>
      <c r="C105" s="246" t="s">
        <v>256</v>
      </c>
      <c r="D105" s="247" t="s">
        <v>257</v>
      </c>
      <c r="E105" s="247">
        <f>E104/0.85</f>
        <v>8503.3129379894108</v>
      </c>
      <c r="F105" s="225"/>
      <c r="G105" s="224"/>
      <c r="H105" s="224"/>
      <c r="I105" s="224"/>
      <c r="J105" s="224"/>
      <c r="K105" s="224"/>
      <c r="L105" s="226"/>
    </row>
    <row r="111" spans="2:12" ht="14.4" thickBot="1" x14ac:dyDescent="0.3"/>
    <row r="112" spans="2:12" ht="14.4" thickBot="1" x14ac:dyDescent="0.3">
      <c r="B112" s="301" t="s">
        <v>267</v>
      </c>
      <c r="C112" s="302"/>
      <c r="D112" s="302"/>
      <c r="E112" s="302"/>
      <c r="F112" s="302"/>
      <c r="G112" s="302"/>
      <c r="H112" s="302"/>
      <c r="I112" s="302"/>
      <c r="J112" s="302"/>
      <c r="K112" s="302"/>
      <c r="L112" s="303"/>
    </row>
  </sheetData>
  <mergeCells count="9">
    <mergeCell ref="B21:C21"/>
    <mergeCell ref="B112:L112"/>
    <mergeCell ref="C47:L47"/>
    <mergeCell ref="B50:E50"/>
    <mergeCell ref="B57:D57"/>
    <mergeCell ref="B58:D58"/>
    <mergeCell ref="B59:D59"/>
    <mergeCell ref="B96:D96"/>
    <mergeCell ref="B60:D6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57"/>
  <sheetViews>
    <sheetView rightToLeft="1" zoomScale="130" zoomScaleNormal="130" workbookViewId="0">
      <selection activeCell="I17" sqref="I1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19" t="s">
        <v>33</v>
      </c>
      <c r="B2" s="191" t="s">
        <v>162</v>
      </c>
      <c r="C2" s="119" t="s">
        <v>163</v>
      </c>
      <c r="D2" s="92" t="s">
        <v>220</v>
      </c>
      <c r="E2" s="92" t="s">
        <v>221</v>
      </c>
      <c r="F2" s="92" t="s">
        <v>222</v>
      </c>
      <c r="G2" s="220" t="s">
        <v>223</v>
      </c>
      <c r="H2" s="220" t="s">
        <v>224</v>
      </c>
      <c r="I2" s="47" t="s">
        <v>225</v>
      </c>
      <c r="J2" s="116"/>
      <c r="K2" s="116"/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150</v>
      </c>
      <c r="B3" s="192"/>
      <c r="C3" s="120"/>
      <c r="D3" s="93">
        <v>81</v>
      </c>
      <c r="E3" s="143">
        <v>150</v>
      </c>
      <c r="F3" s="93">
        <v>80</v>
      </c>
      <c r="G3" s="64">
        <v>263</v>
      </c>
      <c r="H3" s="64">
        <v>535</v>
      </c>
      <c r="I3" s="64">
        <v>24</v>
      </c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92</v>
      </c>
      <c r="B4" s="192"/>
      <c r="C4" s="120"/>
      <c r="D4" s="93"/>
      <c r="E4" s="143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74</v>
      </c>
      <c r="B5" s="192"/>
      <c r="C5" s="120"/>
      <c r="D5" s="93"/>
      <c r="E5" s="143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146</v>
      </c>
      <c r="B6" s="192"/>
      <c r="C6" s="120"/>
      <c r="D6" s="93"/>
      <c r="E6" s="143">
        <v>18</v>
      </c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147</v>
      </c>
      <c r="B7" s="192"/>
      <c r="C7" s="120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148</v>
      </c>
      <c r="B8" s="192"/>
      <c r="C8" s="120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149</v>
      </c>
      <c r="B9" s="193"/>
      <c r="C9" s="208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48</v>
      </c>
      <c r="B10" s="194"/>
      <c r="C10" s="122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89</v>
      </c>
      <c r="B11" s="194"/>
      <c r="C11" s="122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85</v>
      </c>
      <c r="B12" s="195"/>
      <c r="C12" s="123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34</v>
      </c>
      <c r="B13" s="210"/>
      <c r="C13" s="209"/>
      <c r="D13" s="206">
        <f>SUM(D4:D12)</f>
        <v>0</v>
      </c>
      <c r="E13" s="200">
        <f>SUM(E4:E12)</f>
        <v>18</v>
      </c>
      <c r="F13" s="200">
        <f>SUM(F3:F12)</f>
        <v>80</v>
      </c>
      <c r="G13" s="200">
        <f>SUM(G3:G12)</f>
        <v>263</v>
      </c>
      <c r="H13" s="200">
        <f>SUM(H3:H12)</f>
        <v>535</v>
      </c>
      <c r="I13" s="201">
        <f t="shared" ref="I13:S13" si="0">SUM(I3:I12)</f>
        <v>24</v>
      </c>
      <c r="J13" s="201">
        <f t="shared" si="0"/>
        <v>0</v>
      </c>
      <c r="K13" s="201">
        <f t="shared" si="0"/>
        <v>0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35</v>
      </c>
      <c r="B14" s="191" t="s">
        <v>162</v>
      </c>
      <c r="C14" s="119" t="s">
        <v>163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226</v>
      </c>
      <c r="B15" s="196"/>
      <c r="C15" s="121" t="s">
        <v>164</v>
      </c>
      <c r="D15" s="52">
        <v>74.260000000000005</v>
      </c>
      <c r="E15" s="144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228</v>
      </c>
      <c r="B16" s="196" t="s">
        <v>164</v>
      </c>
      <c r="C16" s="121" t="s">
        <v>164</v>
      </c>
      <c r="D16" s="52"/>
      <c r="E16" s="52"/>
      <c r="F16" s="52"/>
      <c r="G16" s="64"/>
      <c r="H16" s="64"/>
      <c r="I16" s="48"/>
      <c r="J16" s="64"/>
      <c r="K16" s="48">
        <v>816</v>
      </c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227</v>
      </c>
      <c r="B17" s="196" t="s">
        <v>164</v>
      </c>
      <c r="C17" s="121" t="s">
        <v>164</v>
      </c>
      <c r="D17" s="52"/>
      <c r="E17" s="51">
        <v>148.94999999999999</v>
      </c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/>
      <c r="B18" s="196"/>
      <c r="C18" s="121"/>
      <c r="D18" s="49"/>
      <c r="E18" s="51"/>
      <c r="F18" s="52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52"/>
      <c r="S18" s="53"/>
    </row>
    <row r="19" spans="1:19" x14ac:dyDescent="0.25">
      <c r="A19" s="121"/>
      <c r="B19" s="196"/>
      <c r="C19" s="121"/>
      <c r="D19" s="52"/>
      <c r="E19" s="51"/>
      <c r="F19" s="52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52"/>
      <c r="S19" s="53"/>
    </row>
    <row r="20" spans="1:19" ht="14.4" thickBot="1" x14ac:dyDescent="0.3">
      <c r="A20" s="123"/>
      <c r="B20" s="195"/>
      <c r="C20" s="123"/>
      <c r="D20" s="60"/>
      <c r="E20" s="59"/>
      <c r="F20" s="60"/>
      <c r="G20" s="59"/>
      <c r="H20" s="59"/>
      <c r="I20" s="59"/>
      <c r="J20" s="51"/>
      <c r="K20" s="51"/>
      <c r="L20" s="51"/>
      <c r="M20" s="51"/>
      <c r="N20" s="51"/>
      <c r="O20" s="59"/>
      <c r="P20" s="59"/>
      <c r="Q20" s="60"/>
      <c r="R20" s="60"/>
      <c r="S20" s="61"/>
    </row>
    <row r="21" spans="1:19" ht="14.4" thickTop="1" x14ac:dyDescent="0.25">
      <c r="A21" s="126" t="s">
        <v>88</v>
      </c>
      <c r="B21" s="197"/>
      <c r="C21" s="126"/>
      <c r="D21" s="207">
        <f>SUM(D18:D20)</f>
        <v>0</v>
      </c>
      <c r="E21" s="118">
        <f>SUM(E18:E20)</f>
        <v>0</v>
      </c>
      <c r="F21" s="118">
        <f t="shared" ref="F21:S21" si="1">SUM(F15:F20)</f>
        <v>0</v>
      </c>
      <c r="G21" s="118">
        <f t="shared" si="1"/>
        <v>0</v>
      </c>
      <c r="H21" s="118">
        <f t="shared" si="1"/>
        <v>0</v>
      </c>
      <c r="I21" s="118">
        <f t="shared" si="1"/>
        <v>0</v>
      </c>
      <c r="J21" s="118">
        <f t="shared" si="1"/>
        <v>0</v>
      </c>
      <c r="K21" s="65">
        <f t="shared" si="1"/>
        <v>816</v>
      </c>
      <c r="L21" s="65">
        <f t="shared" si="1"/>
        <v>0</v>
      </c>
      <c r="M21" s="65">
        <f t="shared" si="1"/>
        <v>0</v>
      </c>
      <c r="N21" s="65">
        <f t="shared" si="1"/>
        <v>0</v>
      </c>
      <c r="O21" s="65">
        <f t="shared" si="1"/>
        <v>0</v>
      </c>
      <c r="P21" s="65">
        <f t="shared" si="1"/>
        <v>0</v>
      </c>
      <c r="Q21" s="140">
        <f t="shared" si="1"/>
        <v>0</v>
      </c>
      <c r="R21" s="140">
        <f t="shared" si="1"/>
        <v>0</v>
      </c>
      <c r="S21" s="138">
        <f t="shared" si="1"/>
        <v>0</v>
      </c>
    </row>
    <row r="22" spans="1:19" ht="14.4" thickBot="1" x14ac:dyDescent="0.3">
      <c r="A22" s="124" t="s">
        <v>36</v>
      </c>
      <c r="B22" s="198"/>
      <c r="C22" s="124"/>
      <c r="D22" s="141">
        <f t="shared" ref="D22:S22" si="2">D13-D21</f>
        <v>0</v>
      </c>
      <c r="E22" s="137">
        <f t="shared" si="2"/>
        <v>18</v>
      </c>
      <c r="F22" s="137">
        <f t="shared" si="2"/>
        <v>80</v>
      </c>
      <c r="G22" s="137">
        <f t="shared" si="2"/>
        <v>263</v>
      </c>
      <c r="H22" s="137">
        <f t="shared" si="2"/>
        <v>535</v>
      </c>
      <c r="I22" s="137">
        <f t="shared" si="2"/>
        <v>24</v>
      </c>
      <c r="J22" s="137">
        <f t="shared" si="2"/>
        <v>0</v>
      </c>
      <c r="K22" s="137">
        <f t="shared" si="2"/>
        <v>-816</v>
      </c>
      <c r="L22" s="137">
        <f t="shared" si="2"/>
        <v>0</v>
      </c>
      <c r="M22" s="137">
        <f t="shared" si="2"/>
        <v>0</v>
      </c>
      <c r="N22" s="137">
        <f t="shared" si="2"/>
        <v>0</v>
      </c>
      <c r="O22" s="137">
        <f t="shared" si="2"/>
        <v>0</v>
      </c>
      <c r="P22" s="137">
        <f t="shared" si="2"/>
        <v>0</v>
      </c>
      <c r="Q22" s="142">
        <f t="shared" si="2"/>
        <v>0</v>
      </c>
      <c r="R22" s="141">
        <f t="shared" si="2"/>
        <v>0</v>
      </c>
      <c r="S22" s="145">
        <f t="shared" si="2"/>
        <v>0</v>
      </c>
    </row>
    <row r="23" spans="1:19" x14ac:dyDescent="0.25">
      <c r="D23" s="134"/>
      <c r="E23" s="73"/>
      <c r="F23" s="147"/>
      <c r="H23" s="73"/>
      <c r="I23" s="73"/>
      <c r="J23" s="73"/>
      <c r="K23" s="97"/>
      <c r="L23" s="147"/>
      <c r="M23" s="73"/>
    </row>
    <row r="24" spans="1:19" x14ac:dyDescent="0.25">
      <c r="A24" t="s">
        <v>86</v>
      </c>
      <c r="D24" s="135">
        <f>D8+D7</f>
        <v>0</v>
      </c>
      <c r="F24" s="73"/>
    </row>
    <row r="25" spans="1:19" x14ac:dyDescent="0.25">
      <c r="E25" s="91">
        <f>E3*9300*5%*7</f>
        <v>488250</v>
      </c>
      <c r="F25" s="66"/>
      <c r="G25" s="91"/>
      <c r="H25" s="91"/>
      <c r="K25" s="91"/>
    </row>
    <row r="26" spans="1:19" x14ac:dyDescent="0.25">
      <c r="E26" s="38">
        <f>375-E21-F21-I21</f>
        <v>375</v>
      </c>
      <c r="F26" s="66"/>
      <c r="G26" s="91"/>
      <c r="H26" s="91"/>
    </row>
    <row r="27" spans="1:19" x14ac:dyDescent="0.25">
      <c r="N27" s="91"/>
      <c r="O27" s="91"/>
    </row>
    <row r="28" spans="1:19" x14ac:dyDescent="0.25">
      <c r="A28" s="67" t="s">
        <v>37</v>
      </c>
      <c r="B28" s="67"/>
      <c r="C28" s="67"/>
      <c r="D28" s="68"/>
      <c r="L28" s="91"/>
      <c r="N28" s="17"/>
    </row>
    <row r="29" spans="1:19" x14ac:dyDescent="0.25">
      <c r="A29" t="s">
        <v>14</v>
      </c>
      <c r="E29" s="69">
        <f>-D13</f>
        <v>0</v>
      </c>
      <c r="G29" s="72"/>
      <c r="H29" s="72"/>
      <c r="L29" s="91"/>
    </row>
    <row r="30" spans="1:19" x14ac:dyDescent="0.25">
      <c r="A30" t="s">
        <v>15</v>
      </c>
      <c r="E30" s="17">
        <f>-E13</f>
        <v>-18</v>
      </c>
      <c r="G30" s="72"/>
    </row>
    <row r="31" spans="1:19" x14ac:dyDescent="0.25">
      <c r="A31" t="s">
        <v>18</v>
      </c>
      <c r="E31" s="17">
        <f>I21</f>
        <v>0</v>
      </c>
    </row>
    <row r="32" spans="1:19" x14ac:dyDescent="0.25">
      <c r="A32" s="40" t="s">
        <v>8</v>
      </c>
      <c r="B32" s="40"/>
      <c r="C32" s="40"/>
      <c r="D32" s="40"/>
      <c r="E32" s="23">
        <f>SUM(E28:E31)</f>
        <v>-18</v>
      </c>
      <c r="J32" s="72"/>
    </row>
    <row r="33" spans="1:10" x14ac:dyDescent="0.25">
      <c r="A33" t="s">
        <v>38</v>
      </c>
      <c r="E33" s="38">
        <v>375</v>
      </c>
      <c r="H33" s="91"/>
    </row>
    <row r="34" spans="1:10" x14ac:dyDescent="0.25">
      <c r="A34" s="40" t="s">
        <v>39</v>
      </c>
      <c r="B34" s="40"/>
      <c r="C34" s="40"/>
      <c r="D34" s="40"/>
      <c r="E34" s="23">
        <f>SUM(E32:E33)</f>
        <v>357</v>
      </c>
    </row>
    <row r="35" spans="1:10" x14ac:dyDescent="0.25">
      <c r="A35" t="s">
        <v>40</v>
      </c>
      <c r="E35" s="17">
        <f>-E21-F21-I21</f>
        <v>0</v>
      </c>
    </row>
    <row r="36" spans="1:10" x14ac:dyDescent="0.25">
      <c r="A36" s="40" t="s">
        <v>41</v>
      </c>
      <c r="B36" s="40"/>
      <c r="C36" s="40"/>
      <c r="D36" s="40"/>
      <c r="E36" s="70">
        <f>SUM(E34:E35)</f>
        <v>357</v>
      </c>
    </row>
    <row r="40" spans="1:10" x14ac:dyDescent="0.25">
      <c r="A40" s="129" t="s">
        <v>75</v>
      </c>
      <c r="B40" s="129"/>
      <c r="C40" s="129"/>
    </row>
    <row r="41" spans="1:10" ht="15.6" x14ac:dyDescent="0.4">
      <c r="A41" s="39" t="s">
        <v>76</v>
      </c>
      <c r="B41" s="39"/>
      <c r="C41" s="39"/>
      <c r="D41" s="39" t="s">
        <v>78</v>
      </c>
      <c r="E41" s="130" t="s">
        <v>79</v>
      </c>
      <c r="F41" s="39" t="s">
        <v>82</v>
      </c>
      <c r="G41" s="39"/>
      <c r="H41" s="17"/>
      <c r="I41" s="17"/>
    </row>
    <row r="42" spans="1:10" x14ac:dyDescent="0.25">
      <c r="A42" t="s">
        <v>42</v>
      </c>
      <c r="F42" s="91">
        <f>E42-D42</f>
        <v>0</v>
      </c>
    </row>
    <row r="43" spans="1:10" x14ac:dyDescent="0.25">
      <c r="A43" t="s">
        <v>77</v>
      </c>
      <c r="F43" s="91">
        <f>E43-D43</f>
        <v>0</v>
      </c>
    </row>
    <row r="44" spans="1:10" x14ac:dyDescent="0.25">
      <c r="A44" s="107" t="s">
        <v>80</v>
      </c>
      <c r="B44" s="107"/>
      <c r="C44" s="107"/>
      <c r="D44" s="107">
        <f>SUM(D42:D43)</f>
        <v>0</v>
      </c>
      <c r="E44" s="70">
        <f>SUM(E42:E43)</f>
        <v>0</v>
      </c>
      <c r="F44" s="131">
        <f>E44-D44</f>
        <v>0</v>
      </c>
    </row>
    <row r="46" spans="1:10" ht="15.6" x14ac:dyDescent="0.4">
      <c r="A46" s="39" t="s">
        <v>81</v>
      </c>
      <c r="B46" s="39"/>
      <c r="C46" s="39"/>
      <c r="D46" s="39" t="s">
        <v>78</v>
      </c>
      <c r="E46" s="130" t="s">
        <v>79</v>
      </c>
      <c r="F46" s="39" t="s">
        <v>82</v>
      </c>
    </row>
    <row r="47" spans="1:10" x14ac:dyDescent="0.25">
      <c r="A47" t="s">
        <v>42</v>
      </c>
      <c r="F47" s="91">
        <f>E47-D47</f>
        <v>0</v>
      </c>
      <c r="G47" s="39"/>
      <c r="J47" s="17"/>
    </row>
    <row r="48" spans="1:10" x14ac:dyDescent="0.25">
      <c r="A48" t="s">
        <v>77</v>
      </c>
      <c r="F48" s="91">
        <f>E48-D48</f>
        <v>0</v>
      </c>
    </row>
    <row r="49" spans="1:10" x14ac:dyDescent="0.25">
      <c r="A49" s="107" t="s">
        <v>80</v>
      </c>
      <c r="B49" s="107"/>
      <c r="C49" s="107"/>
      <c r="D49" s="107">
        <f>SUM(D47:D48)</f>
        <v>0</v>
      </c>
      <c r="E49" s="70">
        <f>SUM(E47:E48)</f>
        <v>0</v>
      </c>
      <c r="F49" s="131">
        <f>E49-D49</f>
        <v>0</v>
      </c>
      <c r="J49" s="146"/>
    </row>
    <row r="51" spans="1:10" x14ac:dyDescent="0.25">
      <c r="A51" s="132" t="s">
        <v>8</v>
      </c>
      <c r="B51" s="132"/>
      <c r="C51" s="132"/>
      <c r="D51" s="132">
        <f>D49+D44</f>
        <v>0</v>
      </c>
      <c r="E51" s="132">
        <f>E49+E44</f>
        <v>0</v>
      </c>
      <c r="F51" s="133">
        <f>F49+F44</f>
        <v>0</v>
      </c>
    </row>
    <row r="55" spans="1:10" x14ac:dyDescent="0.25">
      <c r="G55" s="39"/>
      <c r="J55" s="17"/>
    </row>
    <row r="57" spans="1:10" x14ac:dyDescent="0.25">
      <c r="J57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5"/>
  <sheetViews>
    <sheetView rightToLeft="1" zoomScale="175" zoomScaleNormal="175" workbookViewId="0">
      <selection activeCell="C15" sqref="C15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5" x14ac:dyDescent="0.25">
      <c r="A2" s="39" t="s">
        <v>166</v>
      </c>
      <c r="B2" s="39" t="s">
        <v>167</v>
      </c>
      <c r="C2" s="39" t="s">
        <v>134</v>
      </c>
      <c r="D2" s="39" t="s">
        <v>168</v>
      </c>
    </row>
    <row r="3" spans="1:5" x14ac:dyDescent="0.25">
      <c r="A3" t="s">
        <v>219</v>
      </c>
      <c r="B3" t="s">
        <v>218</v>
      </c>
      <c r="C3" s="74">
        <v>2023</v>
      </c>
      <c r="D3">
        <v>500</v>
      </c>
      <c r="E3" t="s">
        <v>172</v>
      </c>
    </row>
    <row r="4" spans="1:5" x14ac:dyDescent="0.25">
      <c r="A4" t="s">
        <v>216</v>
      </c>
      <c r="B4" t="s">
        <v>217</v>
      </c>
      <c r="C4" s="74">
        <v>2004</v>
      </c>
      <c r="E4" t="s">
        <v>215</v>
      </c>
    </row>
    <row r="5" spans="1:5" x14ac:dyDescent="0.25">
      <c r="A5" t="s">
        <v>169</v>
      </c>
      <c r="B5" t="s">
        <v>214</v>
      </c>
      <c r="C5" s="74">
        <v>1970</v>
      </c>
      <c r="D5" s="211">
        <v>2</v>
      </c>
      <c r="E5" t="s">
        <v>170</v>
      </c>
    </row>
  </sheetData>
  <autoFilter ref="A2:F5" xr:uid="{3056B9E0-6524-4EBC-9BE5-F818961ABBE2}">
    <sortState xmlns:xlrd2="http://schemas.microsoft.com/office/spreadsheetml/2017/richdata2" ref="A3:F5">
      <sortCondition descending="1" ref="C2:C5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15" t="s">
        <v>118</v>
      </c>
      <c r="C2" s="316"/>
      <c r="D2" s="316"/>
      <c r="E2" s="316"/>
      <c r="F2" s="317"/>
    </row>
    <row r="3" spans="2:10" ht="14.4" thickBot="1" x14ac:dyDescent="0.3">
      <c r="B3" s="151" t="s">
        <v>47</v>
      </c>
      <c r="C3" s="318" t="s">
        <v>42</v>
      </c>
      <c r="D3" s="319"/>
      <c r="E3" s="318" t="s">
        <v>100</v>
      </c>
      <c r="F3" s="320"/>
    </row>
    <row r="4" spans="2:10" x14ac:dyDescent="0.25">
      <c r="B4" s="166" t="s">
        <v>101</v>
      </c>
      <c r="C4" s="332">
        <v>0</v>
      </c>
      <c r="D4" s="333"/>
      <c r="E4" s="332">
        <v>0</v>
      </c>
      <c r="F4" s="334"/>
    </row>
    <row r="5" spans="2:10" x14ac:dyDescent="0.25">
      <c r="B5" s="171" t="s">
        <v>102</v>
      </c>
      <c r="C5" s="332">
        <v>140000</v>
      </c>
      <c r="D5" s="333"/>
      <c r="E5" s="332">
        <f>6000*2</f>
        <v>12000</v>
      </c>
      <c r="F5" s="334"/>
    </row>
    <row r="6" spans="2:10" ht="27.6" x14ac:dyDescent="0.25">
      <c r="B6" s="171" t="s">
        <v>114</v>
      </c>
      <c r="C6" s="332">
        <f>46500*7</f>
        <v>325500</v>
      </c>
      <c r="D6" s="333"/>
      <c r="E6" s="332">
        <v>0</v>
      </c>
      <c r="F6" s="334"/>
    </row>
    <row r="7" spans="2:10" x14ac:dyDescent="0.25">
      <c r="B7" s="171" t="s">
        <v>103</v>
      </c>
      <c r="C7" s="332">
        <f>13000*7</f>
        <v>91000</v>
      </c>
      <c r="D7" s="333"/>
      <c r="E7" s="332">
        <f>4000*7</f>
        <v>28000</v>
      </c>
      <c r="F7" s="334"/>
    </row>
    <row r="8" spans="2:10" ht="14.4" thickBot="1" x14ac:dyDescent="0.3">
      <c r="B8" s="157" t="s">
        <v>104</v>
      </c>
      <c r="C8" s="332">
        <f>65000*7</f>
        <v>455000</v>
      </c>
      <c r="D8" s="333"/>
      <c r="E8" s="332">
        <v>50000</v>
      </c>
      <c r="F8" s="334"/>
      <c r="J8" t="s">
        <v>164</v>
      </c>
    </row>
    <row r="9" spans="2:10" ht="14.4" thickBot="1" x14ac:dyDescent="0.3">
      <c r="B9" s="315" t="s">
        <v>117</v>
      </c>
      <c r="C9" s="316"/>
      <c r="D9" s="316"/>
      <c r="E9" s="316"/>
      <c r="F9" s="317"/>
      <c r="J9" t="s">
        <v>165</v>
      </c>
    </row>
    <row r="10" spans="2:10" ht="16.2" thickBot="1" x14ac:dyDescent="0.3">
      <c r="B10" s="152" t="s">
        <v>112</v>
      </c>
      <c r="C10" s="153" t="s">
        <v>110</v>
      </c>
      <c r="D10" s="154" t="s">
        <v>107</v>
      </c>
      <c r="E10" s="155" t="s">
        <v>108</v>
      </c>
      <c r="F10" s="156" t="s">
        <v>109</v>
      </c>
    </row>
    <row r="11" spans="2:10" x14ac:dyDescent="0.25">
      <c r="B11" s="166" t="s">
        <v>101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102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105</v>
      </c>
      <c r="C13" s="324" t="s">
        <v>111</v>
      </c>
      <c r="D13" s="324"/>
      <c r="E13" s="324"/>
      <c r="F13" s="325"/>
    </row>
    <row r="14" spans="2:10" x14ac:dyDescent="0.25">
      <c r="B14" s="181" t="s">
        <v>103</v>
      </c>
      <c r="C14" s="324" t="s">
        <v>113</v>
      </c>
      <c r="D14" s="324"/>
      <c r="E14" s="324"/>
      <c r="F14" s="325"/>
    </row>
    <row r="15" spans="2:10" ht="14.4" thickBot="1" x14ac:dyDescent="0.3">
      <c r="B15" s="157" t="s">
        <v>104</v>
      </c>
      <c r="C15" s="326" t="s">
        <v>115</v>
      </c>
      <c r="D15" s="327"/>
      <c r="E15" s="327"/>
      <c r="F15" s="328"/>
    </row>
    <row r="16" spans="2:10" ht="14.4" thickBot="1" x14ac:dyDescent="0.3"/>
    <row r="17" spans="2:6" ht="14.4" thickBot="1" x14ac:dyDescent="0.3">
      <c r="B17" s="315" t="s">
        <v>99</v>
      </c>
      <c r="C17" s="316"/>
      <c r="D17" s="316"/>
      <c r="E17" s="316"/>
      <c r="F17" s="317"/>
    </row>
    <row r="18" spans="2:6" ht="14.4" thickBot="1" x14ac:dyDescent="0.3">
      <c r="B18" s="151" t="s">
        <v>106</v>
      </c>
      <c r="C18" s="318" t="s">
        <v>42</v>
      </c>
      <c r="D18" s="319"/>
      <c r="E18" s="318" t="s">
        <v>100</v>
      </c>
      <c r="F18" s="320"/>
    </row>
    <row r="19" spans="2:6" x14ac:dyDescent="0.25">
      <c r="B19" s="166" t="s">
        <v>101</v>
      </c>
      <c r="C19" s="329">
        <v>0</v>
      </c>
      <c r="D19" s="330"/>
      <c r="E19" s="329">
        <v>0</v>
      </c>
      <c r="F19" s="331"/>
    </row>
    <row r="20" spans="2:6" x14ac:dyDescent="0.25">
      <c r="B20" s="171" t="s">
        <v>102</v>
      </c>
      <c r="C20" s="346">
        <v>70000</v>
      </c>
      <c r="D20" s="347"/>
      <c r="E20" s="348">
        <f>6000*7</f>
        <v>42000</v>
      </c>
      <c r="F20" s="349"/>
    </row>
    <row r="21" spans="2:6" x14ac:dyDescent="0.25">
      <c r="B21" s="175" t="s">
        <v>105</v>
      </c>
      <c r="C21" s="346">
        <f>46500*7</f>
        <v>325500</v>
      </c>
      <c r="D21" s="347"/>
      <c r="E21" s="346">
        <v>0</v>
      </c>
      <c r="F21" s="350"/>
    </row>
    <row r="22" spans="2:6" x14ac:dyDescent="0.25">
      <c r="B22" s="171" t="s">
        <v>103</v>
      </c>
      <c r="C22" s="346">
        <f>13000*7</f>
        <v>91000</v>
      </c>
      <c r="D22" s="347"/>
      <c r="E22" s="346">
        <f>4000*7</f>
        <v>28000</v>
      </c>
      <c r="F22" s="350"/>
    </row>
    <row r="23" spans="2:6" ht="14.4" thickBot="1" x14ac:dyDescent="0.3">
      <c r="B23" s="157" t="s">
        <v>104</v>
      </c>
      <c r="C23" s="321">
        <f>65000*7</f>
        <v>455000</v>
      </c>
      <c r="D23" s="322"/>
      <c r="E23" s="321">
        <f>7000*7</f>
        <v>49000</v>
      </c>
      <c r="F23" s="323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112</v>
      </c>
      <c r="C25" s="153" t="s">
        <v>110</v>
      </c>
      <c r="D25" s="154" t="s">
        <v>107</v>
      </c>
      <c r="E25" s="155" t="s">
        <v>108</v>
      </c>
      <c r="F25" s="156" t="s">
        <v>109</v>
      </c>
    </row>
    <row r="26" spans="2:6" x14ac:dyDescent="0.25">
      <c r="B26" s="166" t="s">
        <v>101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102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105</v>
      </c>
      <c r="C28" s="344" t="s">
        <v>111</v>
      </c>
      <c r="D28" s="344"/>
      <c r="E28" s="344"/>
      <c r="F28" s="345"/>
    </row>
    <row r="29" spans="2:6" x14ac:dyDescent="0.25">
      <c r="B29" s="171" t="s">
        <v>103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104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315" t="s">
        <v>116</v>
      </c>
      <c r="C35" s="316"/>
      <c r="D35" s="316"/>
      <c r="E35" s="316"/>
      <c r="F35" s="317"/>
    </row>
    <row r="36" spans="2:6" ht="14.4" thickBot="1" x14ac:dyDescent="0.3">
      <c r="B36" s="151" t="s">
        <v>119</v>
      </c>
      <c r="C36" s="318" t="s">
        <v>42</v>
      </c>
      <c r="D36" s="319"/>
      <c r="E36" s="318" t="s">
        <v>100</v>
      </c>
      <c r="F36" s="320"/>
    </row>
    <row r="37" spans="2:6" x14ac:dyDescent="0.25">
      <c r="B37" s="166" t="s">
        <v>120</v>
      </c>
      <c r="C37" s="335" t="s">
        <v>123</v>
      </c>
      <c r="D37" s="336"/>
      <c r="E37" s="336"/>
      <c r="F37" s="337"/>
    </row>
    <row r="38" spans="2:6" x14ac:dyDescent="0.25">
      <c r="B38" s="171" t="s">
        <v>121</v>
      </c>
      <c r="C38" s="338" t="s">
        <v>122</v>
      </c>
      <c r="D38" s="339"/>
      <c r="E38" s="339"/>
      <c r="F38" s="340"/>
    </row>
    <row r="39" spans="2:6" x14ac:dyDescent="0.25">
      <c r="B39" s="171" t="s">
        <v>124</v>
      </c>
      <c r="C39" s="338" t="s">
        <v>125</v>
      </c>
      <c r="D39" s="339"/>
      <c r="E39" s="339"/>
      <c r="F39" s="340"/>
    </row>
    <row r="40" spans="2:6" ht="14.4" thickBot="1" x14ac:dyDescent="0.3">
      <c r="B40" s="157" t="s">
        <v>126</v>
      </c>
      <c r="C40" s="341" t="s">
        <v>127</v>
      </c>
      <c r="D40" s="342"/>
      <c r="E40" s="342"/>
      <c r="F40" s="343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171</v>
      </c>
      <c r="B2" t="s">
        <v>172</v>
      </c>
    </row>
    <row r="3" spans="1:14" x14ac:dyDescent="0.25">
      <c r="B3" t="s">
        <v>42</v>
      </c>
    </row>
    <row r="7" spans="1:14" x14ac:dyDescent="0.25">
      <c r="N7" t="s">
        <v>173</v>
      </c>
    </row>
    <row r="8" spans="1:14" x14ac:dyDescent="0.25">
      <c r="A8" t="s">
        <v>174</v>
      </c>
      <c r="N8" t="s">
        <v>175</v>
      </c>
    </row>
    <row r="9" spans="1:14" x14ac:dyDescent="0.25">
      <c r="A9" t="s">
        <v>176</v>
      </c>
      <c r="D9" s="212" t="s">
        <v>177</v>
      </c>
      <c r="E9" s="212"/>
      <c r="N9" t="s">
        <v>178</v>
      </c>
    </row>
    <row r="10" spans="1:14" x14ac:dyDescent="0.25">
      <c r="N10" t="s">
        <v>179</v>
      </c>
    </row>
    <row r="15" spans="1:14" x14ac:dyDescent="0.25">
      <c r="A15" t="s">
        <v>180</v>
      </c>
      <c r="B15" t="s">
        <v>181</v>
      </c>
    </row>
    <row r="19" spans="1:12" x14ac:dyDescent="0.25">
      <c r="A19" s="39" t="s">
        <v>182</v>
      </c>
      <c r="B19" s="39" t="s">
        <v>173</v>
      </c>
      <c r="C19" s="39" t="s">
        <v>78</v>
      </c>
      <c r="D19" s="39" t="s">
        <v>183</v>
      </c>
      <c r="E19" s="39" t="s">
        <v>184</v>
      </c>
      <c r="F19" s="39" t="s">
        <v>185</v>
      </c>
      <c r="G19" s="39" t="s">
        <v>21</v>
      </c>
      <c r="H19" s="39" t="s">
        <v>186</v>
      </c>
      <c r="I19" s="39" t="s">
        <v>187</v>
      </c>
      <c r="J19" s="39" t="s">
        <v>188</v>
      </c>
      <c r="K19" s="39" t="s">
        <v>189</v>
      </c>
      <c r="L19" s="39" t="s">
        <v>190</v>
      </c>
    </row>
    <row r="20" spans="1:12" x14ac:dyDescent="0.25">
      <c r="A20" t="s">
        <v>191</v>
      </c>
      <c r="H20" s="148">
        <f>'תחשיב לפי שווי שומה (2)'!B8</f>
        <v>8000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192</v>
      </c>
      <c r="H21" s="149">
        <f>H20</f>
        <v>8000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193</v>
      </c>
      <c r="H22" s="149">
        <f>H21</f>
        <v>8000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194</v>
      </c>
      <c r="H23" s="149">
        <f>H22</f>
        <v>8000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195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2025-10-27T12:07:11Z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