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filterPrivacy="1" autoCompressPictures="0"/>
  <xr:revisionPtr revIDLastSave="0" documentId="13_ncr:1_{F024CC92-28F5-4049-9752-DCA36B4029DC}" xr6:coauthVersionLast="43" xr6:coauthVersionMax="43" xr10:uidLastSave="{00000000-0000-0000-0000-000000000000}"/>
  <bookViews>
    <workbookView xWindow="4360" yWindow="880" windowWidth="25600" windowHeight="14420" tabRatio="869" activeTab="3" xr2:uid="{00000000-000D-0000-FFFF-FFFF00000000}"/>
  </bookViews>
  <sheets>
    <sheet name="IN VITRO Table (for Fig 2 &amp; 3)" sheetId="14" r:id="rId1"/>
    <sheet name="IC50 prediction (Fig 4A &amp; 4B)" sheetId="18" r:id="rId2"/>
    <sheet name="IN VITRO abundance (Figure 4C)" sheetId="10" r:id="rId3"/>
    <sheet name="In vivo Growth+IC50 (new Fig5 )" sheetId="19" r:id="rId4"/>
  </sheets>
  <definedNames>
    <definedName name="solver_adj" localSheetId="2" hidden="1">'IN VITRO abundance (Figure 4C)'!$I$4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'IN VITRO abundance (Figure 4C)'!$O$14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6" i="14" l="1"/>
  <c r="O16" i="14" l="1"/>
  <c r="F17" i="14" l="1"/>
  <c r="F16" i="14"/>
  <c r="E6" i="10" l="1"/>
  <c r="N9" i="14"/>
  <c r="F7" i="10"/>
  <c r="F8" i="10"/>
  <c r="F9" i="10"/>
  <c r="F10" i="10"/>
  <c r="F11" i="10"/>
  <c r="F12" i="10"/>
  <c r="F6" i="10"/>
  <c r="I8" i="10"/>
  <c r="I11" i="10"/>
  <c r="I10" i="10"/>
  <c r="I9" i="10"/>
  <c r="I7" i="10"/>
  <c r="I12" i="10"/>
  <c r="I6" i="10"/>
  <c r="L18" i="10" l="1"/>
  <c r="L19" i="10" s="1"/>
  <c r="D7" i="10"/>
  <c r="C6" i="18" s="1"/>
  <c r="D8" i="10"/>
  <c r="C7" i="18" s="1"/>
  <c r="D9" i="10"/>
  <c r="C8" i="18" s="1"/>
  <c r="D10" i="10"/>
  <c r="C9" i="18" s="1"/>
  <c r="D11" i="10"/>
  <c r="C10" i="18" s="1"/>
  <c r="D12" i="10"/>
  <c r="C11" i="18" s="1"/>
  <c r="D6" i="10"/>
  <c r="C5" i="18" s="1"/>
  <c r="E6" i="18" l="1"/>
  <c r="E7" i="18"/>
  <c r="E8" i="18"/>
  <c r="E9" i="18"/>
  <c r="E10" i="18"/>
  <c r="E11" i="18"/>
  <c r="E5" i="18"/>
  <c r="D6" i="18"/>
  <c r="D7" i="18"/>
  <c r="D8" i="18"/>
  <c r="D9" i="18"/>
  <c r="D10" i="18"/>
  <c r="D11" i="18"/>
  <c r="D5" i="18"/>
  <c r="N10" i="14" l="1"/>
  <c r="N11" i="14"/>
  <c r="N12" i="14"/>
  <c r="N13" i="14"/>
  <c r="N14" i="14"/>
  <c r="N15" i="14"/>
  <c r="L16" i="14"/>
  <c r="F14" i="19" l="1"/>
  <c r="F15" i="19"/>
  <c r="F16" i="19"/>
  <c r="F17" i="19"/>
  <c r="F18" i="19"/>
  <c r="F19" i="19"/>
  <c r="F20" i="19"/>
  <c r="F5" i="19"/>
  <c r="F6" i="19"/>
  <c r="F7" i="19"/>
  <c r="F8" i="19"/>
  <c r="F9" i="19"/>
  <c r="F10" i="19"/>
  <c r="F4" i="19"/>
  <c r="G20" i="19"/>
  <c r="G19" i="19"/>
  <c r="G18" i="19"/>
  <c r="G17" i="19"/>
  <c r="G16" i="19"/>
  <c r="G15" i="19"/>
  <c r="G14" i="19"/>
  <c r="G5" i="19"/>
  <c r="G6" i="19"/>
  <c r="G7" i="19"/>
  <c r="G8" i="19"/>
  <c r="G9" i="19"/>
  <c r="G10" i="19"/>
  <c r="G4" i="19"/>
  <c r="G5" i="18" l="1" a="1"/>
  <c r="E7" i="10"/>
  <c r="E8" i="10"/>
  <c r="E9" i="10"/>
  <c r="E10" i="10"/>
  <c r="E11" i="10"/>
  <c r="E12" i="10"/>
  <c r="E19" i="14"/>
  <c r="O18" i="14"/>
  <c r="O19" i="14" s="1"/>
  <c r="Q18" i="14"/>
  <c r="Q19" i="14" s="1"/>
  <c r="N18" i="14"/>
  <c r="N19" i="14" s="1"/>
  <c r="L18" i="14"/>
  <c r="L19" i="14" s="1"/>
  <c r="J18" i="14"/>
  <c r="J19" i="14" s="1"/>
  <c r="H18" i="14"/>
  <c r="H19" i="14" s="1"/>
  <c r="F18" i="14"/>
  <c r="F19" i="14" s="1"/>
  <c r="E18" i="14"/>
  <c r="Q17" i="14"/>
  <c r="O17" i="14"/>
  <c r="N17" i="14"/>
  <c r="L17" i="14"/>
  <c r="J17" i="14"/>
  <c r="H17" i="14"/>
  <c r="E17" i="14"/>
  <c r="E16" i="14"/>
  <c r="Q16" i="14"/>
  <c r="N16" i="14"/>
  <c r="J16" i="14"/>
  <c r="G8" i="18" l="1"/>
  <c r="G11" i="18"/>
  <c r="G7" i="18"/>
  <c r="G10" i="18"/>
  <c r="G6" i="18"/>
  <c r="G9" i="18"/>
  <c r="G5" i="18"/>
  <c r="F9" i="18"/>
  <c r="F8" i="18"/>
  <c r="F6" i="18"/>
  <c r="F7" i="18"/>
  <c r="F10" i="18"/>
  <c r="F11" i="18"/>
  <c r="K8" i="18" l="1"/>
  <c r="K5" i="18"/>
  <c r="K7" i="18"/>
  <c r="K11" i="18"/>
  <c r="F5" i="18"/>
  <c r="K6" i="18"/>
  <c r="K10" i="18"/>
  <c r="K9" i="18"/>
</calcChain>
</file>

<file path=xl/sharedStrings.xml><?xml version="1.0" encoding="utf-8"?>
<sst xmlns="http://schemas.openxmlformats.org/spreadsheetml/2006/main" count="131" uniqueCount="71">
  <si>
    <t>bis-ANS</t>
  </si>
  <si>
    <t>wt</t>
  </si>
  <si>
    <t>S. dysgalactiae</t>
  </si>
  <si>
    <t>P. falciparum</t>
  </si>
  <si>
    <t>H. sapiens</t>
  </si>
  <si>
    <r>
      <t>S. cerevisiae</t>
    </r>
    <r>
      <rPr>
        <b/>
        <sz val="11"/>
        <color rgb="FF000000"/>
        <rFont val="Calibri"/>
        <family val="2"/>
        <scheme val="minor"/>
      </rPr>
      <t xml:space="preserve"> </t>
    </r>
  </si>
  <si>
    <r>
      <t>L. grayi</t>
    </r>
    <r>
      <rPr>
        <b/>
        <sz val="11"/>
        <color rgb="FF000000"/>
        <rFont val="Calibri"/>
        <family val="2"/>
        <scheme val="minor"/>
      </rPr>
      <t xml:space="preserve"> </t>
    </r>
  </si>
  <si>
    <r>
      <t>H. influenzae</t>
    </r>
    <r>
      <rPr>
        <b/>
        <sz val="11"/>
        <color rgb="FF000000"/>
        <rFont val="Calibri"/>
        <family val="2"/>
        <scheme val="minor"/>
      </rPr>
      <t xml:space="preserve"> </t>
    </r>
  </si>
  <si>
    <t>Protein abundance copies/cell</t>
  </si>
  <si>
    <t>Chromosomal</t>
  </si>
  <si>
    <t>meausured</t>
  </si>
  <si>
    <t>predicted from ANS</t>
  </si>
  <si>
    <t>% ID (res25-34)</t>
  </si>
  <si>
    <t>kcat/KM (s-1 μM-1)</t>
  </si>
  <si>
    <t xml:space="preserve">S. cerevisiae </t>
  </si>
  <si>
    <t xml:space="preserve">L. grayi </t>
  </si>
  <si>
    <t xml:space="preserve">H. influenzae </t>
  </si>
  <si>
    <t>kcat (s-1)</t>
  </si>
  <si>
    <t>Ki (nM)</t>
  </si>
  <si>
    <t>Sap</t>
  </si>
  <si>
    <t>Inf</t>
  </si>
  <si>
    <t>Grayi</t>
  </si>
  <si>
    <t>Falc</t>
  </si>
  <si>
    <t>Dys</t>
  </si>
  <si>
    <t>Cer</t>
  </si>
  <si>
    <t>WT</t>
  </si>
  <si>
    <t>Kcat/Km</t>
  </si>
  <si>
    <t>Protein abundance</t>
  </si>
  <si>
    <t>B</t>
  </si>
  <si>
    <t>IC50_1</t>
  </si>
  <si>
    <t>IC50_2</t>
  </si>
  <si>
    <t>IC50_3</t>
  </si>
  <si>
    <t>Max growth rate (h-1)</t>
  </si>
  <si>
    <t>Gr1</t>
  </si>
  <si>
    <t>Gr2</t>
  </si>
  <si>
    <t>Gr3</t>
  </si>
  <si>
    <t>RAW DATA</t>
  </si>
  <si>
    <t>ki</t>
  </si>
  <si>
    <t>Alpha</t>
  </si>
  <si>
    <t>Exp2</t>
  </si>
  <si>
    <t>Exp3</t>
  </si>
  <si>
    <t>Exp1</t>
  </si>
  <si>
    <t>Exp4</t>
  </si>
  <si>
    <t>Exp5</t>
  </si>
  <si>
    <t>Protein abundance predicted from bisANS</t>
  </si>
  <si>
    <t>STDEV</t>
  </si>
  <si>
    <t>Mean</t>
  </si>
  <si>
    <t>Experimental IC50</t>
  </si>
  <si>
    <r>
      <t xml:space="preserve">IC50 predicted from eq. 1  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</si>
  <si>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t>a) protein abundance from DHFR activity measurments in cell lysates</t>
  </si>
  <si>
    <r>
      <t xml:space="preserve">IC50 predicted from eq. 1  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</si>
  <si>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t>a) protein abundance estimated from bisANS in vitro measurments</t>
  </si>
  <si>
    <t>SEM</t>
  </si>
  <si>
    <t>NA</t>
  </si>
  <si>
    <t>Fitted</t>
  </si>
  <si>
    <r>
      <t>ΔTm (</t>
    </r>
    <r>
      <rPr>
        <b/>
        <vertAlign val="super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C)</t>
    </r>
  </si>
  <si>
    <t>A=</t>
  </si>
  <si>
    <t>SD</t>
  </si>
  <si>
    <r>
      <rPr>
        <vertAlign val="superscript"/>
        <sz val="11"/>
        <color theme="1"/>
        <rFont val="Calibri"/>
        <family val="2"/>
        <scheme val="minor"/>
      </rPr>
      <t>a)</t>
    </r>
    <r>
      <rPr>
        <sz val="11"/>
        <color theme="1"/>
        <rFont val="Calibri"/>
        <family val="2"/>
        <scheme val="minor"/>
      </rPr>
      <t xml:space="preserve"> Tm = 59.8</t>
    </r>
    <r>
      <rPr>
        <sz val="11"/>
        <color theme="1"/>
        <rFont val="Calibri"/>
        <family val="2"/>
      </rPr>
      <t>˚</t>
    </r>
    <r>
      <rPr>
        <sz val="11"/>
        <color theme="1"/>
        <rFont val="Calibri"/>
        <family val="2"/>
        <scheme val="minor"/>
      </rPr>
      <t>C</t>
    </r>
  </si>
  <si>
    <r>
      <t>0</t>
    </r>
    <r>
      <rPr>
        <vertAlign val="superscript"/>
        <sz val="11"/>
        <color theme="1"/>
        <rFont val="Calibri"/>
        <family val="2"/>
        <scheme val="minor"/>
      </rPr>
      <t xml:space="preserve">  a)</t>
    </r>
  </si>
  <si>
    <t>standard error of the mean</t>
  </si>
  <si>
    <t>SEM =</t>
  </si>
  <si>
    <r>
      <t>K</t>
    </r>
    <r>
      <rPr>
        <b/>
        <vertAlign val="subscript"/>
        <sz val="11"/>
        <color theme="1"/>
        <rFont val="Calibri"/>
        <family val="2"/>
        <scheme val="minor"/>
      </rPr>
      <t>M</t>
    </r>
    <r>
      <rPr>
        <b/>
        <sz val="11"/>
        <color theme="1"/>
        <rFont val="Calibri"/>
        <family val="2"/>
        <scheme val="minor"/>
      </rPr>
      <t xml:space="preserve"> (μM)</t>
    </r>
  </si>
  <si>
    <r>
      <t>Ki/K</t>
    </r>
    <r>
      <rPr>
        <b/>
        <vertAlign val="subscript"/>
        <sz val="11"/>
        <color theme="1"/>
        <rFont val="Calibri"/>
        <family val="2"/>
        <scheme val="minor"/>
      </rPr>
      <t>M</t>
    </r>
  </si>
  <si>
    <t>FIGURE 2</t>
  </si>
  <si>
    <t>FIGURE 3</t>
  </si>
  <si>
    <t>RANK ORDER (1 = highest value)</t>
  </si>
  <si>
    <t>Helical content (AGADIR)</t>
  </si>
  <si>
    <t>IC50 (ug/ml)</t>
  </si>
  <si>
    <t>Agadir</t>
  </si>
  <si>
    <t>% 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</si>
</sst>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\+\-\ ##"/>
    <numFmt numFmtId="166" formatCode="0.0000"/>
    <numFmt numFmtId="167" formatCode="0.000"/>
  </numFmts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sz val="9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2"/>
      <color rgb="FF000000"/>
      <name val="Courier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7CE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4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3" fillId="3" borderId="0" applyNumberFormat="0" applyBorder="0" applyAlignment="0" applyProtection="0"/>
  </cellStyleXfs>
  <cellXfs count="66">
    <xf numFmtId="0" fontId="0" fillId="0" borderId="0" xfId="0"/>
    <xf numFmtId="0" fontId="2" fillId="0" borderId="1" xfId="0" applyFont="1" applyBorder="1" applyAlignment="1">
      <alignment horizontal="left" vertical="center" readingOrder="1"/>
    </xf>
    <xf numFmtId="0" fontId="0" fillId="0" borderId="1" xfId="0" applyBorder="1"/>
    <xf numFmtId="0" fontId="0" fillId="0" borderId="0" xfId="0" applyBorder="1"/>
    <xf numFmtId="0" fontId="5" fillId="2" borderId="1" xfId="0" applyFont="1" applyFill="1" applyBorder="1" applyAlignment="1">
      <alignment vertical="center"/>
    </xf>
    <xf numFmtId="0" fontId="6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5" fontId="0" fillId="0" borderId="2" xfId="0" applyNumberFormat="1" applyFont="1" applyBorder="1"/>
    <xf numFmtId="1" fontId="7" fillId="0" borderId="7" xfId="0" applyNumberFormat="1" applyFont="1" applyBorder="1"/>
    <xf numFmtId="1" fontId="0" fillId="0" borderId="1" xfId="0" applyNumberFormat="1" applyFont="1" applyBorder="1" applyAlignment="1">
      <alignment horizontal="center"/>
    </xf>
    <xf numFmtId="0" fontId="9" fillId="0" borderId="0" xfId="0" applyFont="1"/>
    <xf numFmtId="0" fontId="12" fillId="0" borderId="0" xfId="0" applyFont="1"/>
    <xf numFmtId="2" fontId="0" fillId="0" borderId="0" xfId="0" applyNumberFormat="1"/>
    <xf numFmtId="2" fontId="0" fillId="0" borderId="3" xfId="0" applyNumberFormat="1" applyFont="1" applyBorder="1"/>
    <xf numFmtId="0" fontId="0" fillId="0" borderId="0" xfId="0" applyAlignment="1"/>
    <xf numFmtId="1" fontId="0" fillId="0" borderId="0" xfId="0" applyNumberFormat="1" applyAlignment="1"/>
    <xf numFmtId="0" fontId="14" fillId="0" borderId="0" xfId="0" applyFont="1" applyAlignmen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13" fillId="3" borderId="0" xfId="133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1" fontId="7" fillId="0" borderId="0" xfId="0" applyNumberFormat="1" applyFont="1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center"/>
    </xf>
    <xf numFmtId="0" fontId="12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/>
    <xf numFmtId="0" fontId="8" fillId="0" borderId="4" xfId="0" applyFont="1" applyFill="1" applyBorder="1" applyAlignment="1">
      <alignment horizontal="center"/>
    </xf>
    <xf numFmtId="0" fontId="12" fillId="0" borderId="8" xfId="0" applyFont="1" applyBorder="1"/>
    <xf numFmtId="0" fontId="12" fillId="0" borderId="9" xfId="0" quotePrefix="1" applyFont="1" applyBorder="1"/>
    <xf numFmtId="0" fontId="12" fillId="0" borderId="9" xfId="0" applyFont="1" applyBorder="1"/>
    <xf numFmtId="0" fontId="12" fillId="0" borderId="12" xfId="0" applyFont="1" applyBorder="1"/>
    <xf numFmtId="0" fontId="6" fillId="0" borderId="3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8" fillId="0" borderId="3" xfId="0" applyFont="1" applyFill="1" applyBorder="1" applyAlignment="1"/>
    <xf numFmtId="0" fontId="8" fillId="0" borderId="2" xfId="0" applyFont="1" applyFill="1" applyBorder="1" applyAlignment="1"/>
    <xf numFmtId="0" fontId="0" fillId="0" borderId="10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4" fontId="12" fillId="0" borderId="0" xfId="0" applyNumberFormat="1" applyFont="1"/>
    <xf numFmtId="167" fontId="0" fillId="0" borderId="13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1" fontId="0" fillId="0" borderId="0" xfId="0" applyNumberFormat="1"/>
    <xf numFmtId="0" fontId="12" fillId="0" borderId="10" xfId="0" applyFont="1" applyFill="1" applyBorder="1"/>
    <xf numFmtId="0" fontId="12" fillId="0" borderId="0" xfId="0" applyFont="1" applyFill="1"/>
    <xf numFmtId="0" fontId="19" fillId="0" borderId="0" xfId="0" applyFont="1" applyFill="1"/>
    <xf numFmtId="0" fontId="12" fillId="0" borderId="0" xfId="0" applyFont="1" applyAlignment="1">
      <alignment horizontal="center" wrapText="1"/>
    </xf>
    <xf numFmtId="0" fontId="13" fillId="3" borderId="0" xfId="133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34">
    <cellStyle name="Bad" xfId="133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 VITRO Table (for Fig 2 &amp; 3)'!$D$38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 VITRO Table (for Fig 2 &amp; 3)'!$E$37:$I$37</c:f>
              <c:numCache>
                <c:formatCode>General</c:formatCode>
                <c:ptCount val="5"/>
              </c:numCache>
            </c:numRef>
          </c:cat>
          <c:val>
            <c:numRef>
              <c:f>'IN VITRO Table (for Fig 2 &amp; 3)'!$E$38:$I$38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E1-3C4E-A282-5F90520DD980}"/>
            </c:ext>
          </c:extLst>
        </c:ser>
        <c:ser>
          <c:idx val="1"/>
          <c:order val="1"/>
          <c:tx>
            <c:strRef>
              <c:f>'IN VITRO Table (for Fig 2 &amp; 3)'!$D$39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'IN VITRO Table (for Fig 2 &amp; 3)'!$E$37:$I$37</c:f>
              <c:numCache>
                <c:formatCode>General</c:formatCode>
                <c:ptCount val="5"/>
              </c:numCache>
            </c:numRef>
          </c:cat>
          <c:val>
            <c:numRef>
              <c:f>'IN VITRO Table (for Fig 2 &amp; 3)'!$E$39:$I$39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E1-3C4E-A282-5F90520DD980}"/>
            </c:ext>
          </c:extLst>
        </c:ser>
        <c:ser>
          <c:idx val="2"/>
          <c:order val="2"/>
          <c:tx>
            <c:strRef>
              <c:f>'IN VITRO Table (for Fig 2 &amp; 3)'!$D$40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'IN VITRO Table (for Fig 2 &amp; 3)'!$E$37:$I$37</c:f>
              <c:numCache>
                <c:formatCode>General</c:formatCode>
                <c:ptCount val="5"/>
              </c:numCache>
            </c:numRef>
          </c:cat>
          <c:val>
            <c:numRef>
              <c:f>'IN VITRO Table (for Fig 2 &amp; 3)'!$E$40:$I$40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E1-3C4E-A282-5F90520DD980}"/>
            </c:ext>
          </c:extLst>
        </c:ser>
        <c:ser>
          <c:idx val="3"/>
          <c:order val="3"/>
          <c:tx>
            <c:strRef>
              <c:f>'IN VITRO Table (for Fig 2 &amp; 3)'!$D$41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'IN VITRO Table (for Fig 2 &amp; 3)'!$E$37:$I$37</c:f>
              <c:numCache>
                <c:formatCode>General</c:formatCode>
                <c:ptCount val="5"/>
              </c:numCache>
            </c:numRef>
          </c:cat>
          <c:val>
            <c:numRef>
              <c:f>'IN VITRO Table (for Fig 2 &amp; 3)'!$E$41:$I$41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E1-3C4E-A282-5F90520DD980}"/>
            </c:ext>
          </c:extLst>
        </c:ser>
        <c:ser>
          <c:idx val="4"/>
          <c:order val="4"/>
          <c:tx>
            <c:strRef>
              <c:f>'IN VITRO Table (for Fig 2 &amp; 3)'!$D$42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'IN VITRO Table (for Fig 2 &amp; 3)'!$E$37:$I$37</c:f>
              <c:numCache>
                <c:formatCode>General</c:formatCode>
                <c:ptCount val="5"/>
              </c:numCache>
            </c:numRef>
          </c:cat>
          <c:val>
            <c:numRef>
              <c:f>'IN VITRO Table (for Fig 2 &amp; 3)'!$E$42:$I$42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7E1-3C4E-A282-5F90520DD980}"/>
            </c:ext>
          </c:extLst>
        </c:ser>
        <c:ser>
          <c:idx val="5"/>
          <c:order val="5"/>
          <c:tx>
            <c:strRef>
              <c:f>'IN VITRO Table (for Fig 2 &amp; 3)'!$D$43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'IN VITRO Table (for Fig 2 &amp; 3)'!$E$37:$I$37</c:f>
              <c:numCache>
                <c:formatCode>General</c:formatCode>
                <c:ptCount val="5"/>
              </c:numCache>
            </c:numRef>
          </c:cat>
          <c:val>
            <c:numRef>
              <c:f>'IN VITRO Table (for Fig 2 &amp; 3)'!$E$43:$I$43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7E1-3C4E-A282-5F90520DD980}"/>
            </c:ext>
          </c:extLst>
        </c:ser>
        <c:ser>
          <c:idx val="6"/>
          <c:order val="6"/>
          <c:tx>
            <c:strRef>
              <c:f>'IN VITRO Table (for Fig 2 &amp; 3)'!$D$44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'IN VITRO Table (for Fig 2 &amp; 3)'!$E$37:$I$37</c:f>
              <c:numCache>
                <c:formatCode>General</c:formatCode>
                <c:ptCount val="5"/>
              </c:numCache>
            </c:numRef>
          </c:cat>
          <c:val>
            <c:numRef>
              <c:f>'IN VITRO Table (for Fig 2 &amp; 3)'!$E$44:$I$44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7E1-3C4E-A282-5F90520DD9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5218480"/>
        <c:axId val="799110224"/>
      </c:lineChart>
      <c:catAx>
        <c:axId val="74521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110224"/>
        <c:crosses val="autoZero"/>
        <c:auto val="1"/>
        <c:lblAlgn val="ctr"/>
        <c:lblOffset val="100"/>
        <c:noMultiLvlLbl val="0"/>
      </c:catAx>
      <c:valAx>
        <c:axId val="79911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21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983092738407701"/>
          <c:y val="0.17171296296296296"/>
          <c:w val="0.7632801837270341"/>
          <c:h val="0.62271617089530473"/>
        </c:manualLayout>
      </c:layout>
      <c:scatterChart>
        <c:scatterStyle val="smoothMarker"/>
        <c:varyColors val="0"/>
        <c:ser>
          <c:idx val="0"/>
          <c:order val="0"/>
          <c:tx>
            <c:v>Experimental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'IN VITRO abundance (Figure 4C)'!$C$6:$C$12</c:f>
              <c:numCache>
                <c:formatCode>General</c:formatCode>
                <c:ptCount val="7"/>
                <c:pt idx="0">
                  <c:v>1</c:v>
                </c:pt>
                <c:pt idx="1">
                  <c:v>2.1535809164561583</c:v>
                </c:pt>
                <c:pt idx="2">
                  <c:v>4.382087726397196</c:v>
                </c:pt>
                <c:pt idx="3">
                  <c:v>3.3413243707490476</c:v>
                </c:pt>
                <c:pt idx="4">
                  <c:v>2.698346294111523</c:v>
                </c:pt>
                <c:pt idx="5">
                  <c:v>1.6247044214388782</c:v>
                </c:pt>
                <c:pt idx="6">
                  <c:v>6.6206071248771812</c:v>
                </c:pt>
              </c:numCache>
            </c:numRef>
          </c:xVal>
          <c:yVal>
            <c:numRef>
              <c:f>'IN VITRO abundance (Figure 4C)'!$D$6:$D$12</c:f>
              <c:numCache>
                <c:formatCode>0.00</c:formatCode>
                <c:ptCount val="7"/>
                <c:pt idx="0">
                  <c:v>46.155224821425392</c:v>
                </c:pt>
                <c:pt idx="1">
                  <c:v>60.5374699913081</c:v>
                </c:pt>
                <c:pt idx="2">
                  <c:v>22.978551799736234</c:v>
                </c:pt>
                <c:pt idx="3">
                  <c:v>25.909731520450425</c:v>
                </c:pt>
                <c:pt idx="4">
                  <c:v>55.193918309806079</c:v>
                </c:pt>
                <c:pt idx="5">
                  <c:v>130.07539402254233</c:v>
                </c:pt>
                <c:pt idx="6">
                  <c:v>22.954125540320394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3C-4680-8B8E-D80DA3A0DBA0}"/>
            </c:ext>
          </c:extLst>
        </c:ser>
        <c:ser>
          <c:idx val="1"/>
          <c:order val="1"/>
          <c:tx>
            <c:v>Fit y=A/x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'IN VITRO abundance (Figure 4C)'!$H$6:$H$12</c:f>
              <c:numCache>
                <c:formatCode>General</c:formatCode>
                <c:ptCount val="7"/>
                <c:pt idx="0">
                  <c:v>1</c:v>
                </c:pt>
                <c:pt idx="1">
                  <c:v>1.6247044214388782</c:v>
                </c:pt>
                <c:pt idx="2">
                  <c:v>2.1535809164561583</c:v>
                </c:pt>
                <c:pt idx="3">
                  <c:v>2.698346294111523</c:v>
                </c:pt>
                <c:pt idx="4">
                  <c:v>3.3413243707490476</c:v>
                </c:pt>
                <c:pt idx="5">
                  <c:v>4.382087726397196</c:v>
                </c:pt>
                <c:pt idx="6">
                  <c:v>6.6206071248771812</c:v>
                </c:pt>
              </c:numCache>
            </c:numRef>
          </c:xVal>
          <c:yVal>
            <c:numRef>
              <c:f>'IN VITRO abundance (Figure 4C)'!$I$6:$I$12</c:f>
              <c:numCache>
                <c:formatCode>General</c:formatCode>
                <c:ptCount val="7"/>
                <c:pt idx="0">
                  <c:v>100.85479053506701</c:v>
                </c:pt>
                <c:pt idx="1">
                  <c:v>62.075777725617023</c:v>
                </c:pt>
                <c:pt idx="2">
                  <c:v>46.831205535118407</c:v>
                </c:pt>
                <c:pt idx="3">
                  <c:v>37.376518631117797</c:v>
                </c:pt>
                <c:pt idx="4">
                  <c:v>30.184076535035029</c:v>
                </c:pt>
                <c:pt idx="5">
                  <c:v>23.015237674848287</c:v>
                </c:pt>
                <c:pt idx="6">
                  <c:v>15.233465546702103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BE-4F28-924C-1B3F40902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836096"/>
        <c:axId val="503832160"/>
      </c:scatterChart>
      <c:valAx>
        <c:axId val="50383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bis-ANS fluorescence intensity</a:t>
                </a:r>
              </a:p>
              <a:p>
                <a:pPr>
                  <a:defRPr/>
                </a:pPr>
                <a:r>
                  <a:rPr lang="en-US"/>
                  <a:t>(relative to wild type)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832160"/>
        <c:crosses val="autoZero"/>
        <c:crossBetween val="midCat"/>
      </c:valAx>
      <c:valAx>
        <c:axId val="50383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Protein abundance</a:t>
                </a:r>
              </a:p>
              <a:p>
                <a:pPr>
                  <a:defRPr/>
                </a:pPr>
                <a:r>
                  <a:rPr lang="en-US"/>
                  <a:t>(molecules/cell)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836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61</xdr:row>
      <xdr:rowOff>63500</xdr:rowOff>
    </xdr:from>
    <xdr:to>
      <xdr:col>14</xdr:col>
      <xdr:colOff>476250</xdr:colOff>
      <xdr:row>75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73B7F-66B4-704D-AA5E-9F3EC5D5F8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26</xdr:row>
      <xdr:rowOff>114300</xdr:rowOff>
    </xdr:to>
    <xdr:sp macro="" textlink="">
      <xdr:nvSpPr>
        <xdr:cNvPr id="6146" name="AutoShape 2" descr="https://www.statsdirect.com/help/generatedimages/equations/equation182.svg">
          <a:extLst>
            <a:ext uri="{FF2B5EF4-FFF2-40B4-BE49-F238E27FC236}">
              <a16:creationId xmlns:a16="http://schemas.microsoft.com/office/drawing/2014/main" id="{D233B344-7632-4961-9604-FB5A19FE850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371475</xdr:colOff>
      <xdr:row>1</xdr:row>
      <xdr:rowOff>104775</xdr:rowOff>
    </xdr:from>
    <xdr:to>
      <xdr:col>15</xdr:col>
      <xdr:colOff>95250</xdr:colOff>
      <xdr:row>14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863508-B971-41CE-B724-748FC5077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V39"/>
  <sheetViews>
    <sheetView topLeftCell="A5" zoomScale="150" workbookViewId="0">
      <selection activeCell="O23" sqref="O23"/>
    </sheetView>
  </sheetViews>
  <sheetFormatPr baseColWidth="10" defaultColWidth="11.5" defaultRowHeight="15" x14ac:dyDescent="0.2"/>
  <cols>
    <col min="4" max="4" width="16.83203125" customWidth="1"/>
    <col min="6" max="6" width="12.33203125" bestFit="1" customWidth="1"/>
    <col min="9" max="9" width="26" customWidth="1"/>
  </cols>
  <sheetData>
    <row r="8" spans="2:22" ht="18" x14ac:dyDescent="0.25">
      <c r="B8" s="12" t="s">
        <v>65</v>
      </c>
      <c r="D8" s="59" t="s">
        <v>67</v>
      </c>
      <c r="E8" s="12" t="s">
        <v>12</v>
      </c>
      <c r="F8" s="33" t="s">
        <v>17</v>
      </c>
      <c r="G8" s="34" t="s">
        <v>52</v>
      </c>
      <c r="H8" s="33" t="s">
        <v>62</v>
      </c>
      <c r="I8" s="35" t="s">
        <v>52</v>
      </c>
      <c r="J8" s="33" t="s">
        <v>13</v>
      </c>
      <c r="K8" s="35" t="s">
        <v>52</v>
      </c>
      <c r="L8" s="33" t="s">
        <v>18</v>
      </c>
      <c r="M8" s="35"/>
      <c r="N8" s="36" t="s">
        <v>63</v>
      </c>
      <c r="O8" s="33" t="s">
        <v>55</v>
      </c>
      <c r="P8" s="35" t="s">
        <v>52</v>
      </c>
      <c r="Q8" s="33" t="s">
        <v>0</v>
      </c>
      <c r="R8" s="35" t="s">
        <v>52</v>
      </c>
    </row>
    <row r="9" spans="2:22" ht="17" x14ac:dyDescent="0.2">
      <c r="C9" s="12" t="s">
        <v>1</v>
      </c>
      <c r="D9" s="60">
        <v>0.47</v>
      </c>
      <c r="E9">
        <v>100</v>
      </c>
      <c r="F9" s="43">
        <v>13.264285933573172</v>
      </c>
      <c r="G9" s="44">
        <v>1.683163622644378</v>
      </c>
      <c r="H9" s="45">
        <v>0.83877910123391608</v>
      </c>
      <c r="I9" s="42">
        <v>0.154743203709896</v>
      </c>
      <c r="J9" s="43">
        <v>15.926330469712401</v>
      </c>
      <c r="K9" s="44">
        <v>1.4163370442941283</v>
      </c>
      <c r="L9" s="45">
        <v>1.0438567524648354</v>
      </c>
      <c r="M9" s="42">
        <v>0.26977809982027723</v>
      </c>
      <c r="N9" s="55">
        <f>L9/H9/1000</f>
        <v>1.2444954230848534E-3</v>
      </c>
      <c r="O9" s="41" t="s">
        <v>59</v>
      </c>
      <c r="P9" s="42">
        <v>0.35707142142714254</v>
      </c>
      <c r="Q9" s="41">
        <v>1</v>
      </c>
      <c r="R9" s="48" t="s">
        <v>53</v>
      </c>
    </row>
    <row r="10" spans="2:22" ht="16" x14ac:dyDescent="0.2">
      <c r="C10" s="12" t="s">
        <v>14</v>
      </c>
      <c r="D10" s="60">
        <v>0.23</v>
      </c>
      <c r="E10">
        <v>20</v>
      </c>
      <c r="F10" s="43">
        <v>28.982020757044143</v>
      </c>
      <c r="G10" s="44">
        <v>3.5423214012539779</v>
      </c>
      <c r="H10" s="41">
        <v>1.5</v>
      </c>
      <c r="I10" s="42">
        <v>0.12943942632870736</v>
      </c>
      <c r="J10" s="43">
        <v>24.3</v>
      </c>
      <c r="K10" s="44">
        <v>1.9299522341604078</v>
      </c>
      <c r="L10" s="43">
        <v>13.513999999999999</v>
      </c>
      <c r="M10" s="44">
        <v>1.196555473014107</v>
      </c>
      <c r="N10" s="55">
        <f t="shared" ref="N10:N15" si="0">L10/H10/1000</f>
        <v>9.0093333333333327E-3</v>
      </c>
      <c r="O10" s="43">
        <v>-7.0359999999999969</v>
      </c>
      <c r="P10" s="44">
        <v>0.97298252810623398</v>
      </c>
      <c r="Q10" s="45">
        <v>2.1535809164561583</v>
      </c>
      <c r="R10" s="42">
        <v>0.40830403117274872</v>
      </c>
      <c r="U10" s="18"/>
      <c r="V10" s="18"/>
    </row>
    <row r="11" spans="2:22" ht="16" x14ac:dyDescent="0.2">
      <c r="C11" s="12" t="s">
        <v>2</v>
      </c>
      <c r="D11" s="60">
        <v>0.08</v>
      </c>
      <c r="E11">
        <v>40</v>
      </c>
      <c r="F11" s="43">
        <v>36.846104929859749</v>
      </c>
      <c r="G11" s="44">
        <v>5.6100152006704871</v>
      </c>
      <c r="H11" s="45">
        <v>6.3364036188396176</v>
      </c>
      <c r="I11" s="42">
        <v>0.93412547296448301</v>
      </c>
      <c r="J11" s="43">
        <v>5.8149870409624187</v>
      </c>
      <c r="K11" s="44">
        <v>1.3013067538720315</v>
      </c>
      <c r="L11" s="45">
        <v>13.318000000000001</v>
      </c>
      <c r="M11" s="42">
        <v>0.44682770728771959</v>
      </c>
      <c r="N11" s="55">
        <f t="shared" si="0"/>
        <v>2.1018231793824586E-3</v>
      </c>
      <c r="O11" s="43">
        <v>-8.4759999999999973</v>
      </c>
      <c r="P11" s="44">
        <v>1.3261014290015656</v>
      </c>
      <c r="Q11" s="45">
        <v>4.382087726397196</v>
      </c>
      <c r="R11" s="42">
        <v>0.67286947218297333</v>
      </c>
    </row>
    <row r="12" spans="2:22" ht="16" x14ac:dyDescent="0.2">
      <c r="C12" s="12" t="s">
        <v>3</v>
      </c>
      <c r="D12" s="60">
        <v>0.21</v>
      </c>
      <c r="E12">
        <v>20</v>
      </c>
      <c r="F12" s="43">
        <v>32.811490507521782</v>
      </c>
      <c r="G12" s="44">
        <v>5.3740098881001144</v>
      </c>
      <c r="H12" s="43">
        <v>58.4</v>
      </c>
      <c r="I12" s="44">
        <v>25.14282201581041</v>
      </c>
      <c r="J12" s="41">
        <v>0.5</v>
      </c>
      <c r="K12" s="42">
        <v>0.10270773195708269</v>
      </c>
      <c r="L12" s="43">
        <v>164.6</v>
      </c>
      <c r="M12" s="44">
        <v>60.114058255952081</v>
      </c>
      <c r="N12" s="55">
        <f t="shared" si="0"/>
        <v>2.8184931506849312E-3</v>
      </c>
      <c r="O12" s="43">
        <v>-7.195999999999998</v>
      </c>
      <c r="P12" s="44">
        <v>1.3840953724364518</v>
      </c>
      <c r="Q12" s="45">
        <v>3.3413243707490476</v>
      </c>
      <c r="R12" s="42">
        <v>0.32011202954787821</v>
      </c>
    </row>
    <row r="13" spans="2:22" ht="16" x14ac:dyDescent="0.2">
      <c r="C13" s="12" t="s">
        <v>15</v>
      </c>
      <c r="D13" s="60">
        <v>0.44</v>
      </c>
      <c r="E13">
        <v>70</v>
      </c>
      <c r="F13" s="43">
        <v>14.274041680427846</v>
      </c>
      <c r="G13" s="44">
        <v>2.6090229875568354</v>
      </c>
      <c r="H13" s="45">
        <v>0.65118897221327554</v>
      </c>
      <c r="I13" s="42">
        <v>9.1610770850229756E-2</v>
      </c>
      <c r="J13" s="43">
        <v>21.919968380166075</v>
      </c>
      <c r="K13" s="44">
        <v>2.0403079756989539</v>
      </c>
      <c r="L13" s="45">
        <v>1.7650000000000001</v>
      </c>
      <c r="M13" s="42">
        <v>0.49826365176146115</v>
      </c>
      <c r="N13" s="55">
        <f t="shared" si="0"/>
        <v>2.7104267352702225E-3</v>
      </c>
      <c r="O13" s="45">
        <v>-6.1819999999999968</v>
      </c>
      <c r="P13" s="42">
        <v>0.32469986141050317</v>
      </c>
      <c r="Q13" s="45">
        <v>2.698346294111523</v>
      </c>
      <c r="R13" s="42">
        <v>0.27868129794418572</v>
      </c>
    </row>
    <row r="14" spans="2:22" ht="16" x14ac:dyDescent="0.2">
      <c r="C14" s="12" t="s">
        <v>16</v>
      </c>
      <c r="D14" s="60">
        <v>0.39</v>
      </c>
      <c r="E14">
        <v>70</v>
      </c>
      <c r="F14" s="43">
        <v>10.473486642910903</v>
      </c>
      <c r="G14" s="44">
        <v>2.3038984410760355</v>
      </c>
      <c r="H14" s="45">
        <v>0.42476148910433903</v>
      </c>
      <c r="I14" s="42">
        <v>9.4024502727937179E-2</v>
      </c>
      <c r="J14" s="43">
        <v>24.657335732096421</v>
      </c>
      <c r="K14" s="44">
        <v>6.4533211401646442</v>
      </c>
      <c r="L14" s="51">
        <v>0.252</v>
      </c>
      <c r="M14" s="48">
        <v>2.5434010475913708E-2</v>
      </c>
      <c r="N14" s="55">
        <f t="shared" si="0"/>
        <v>5.9327412315879314E-4</v>
      </c>
      <c r="O14" s="43">
        <v>-2.9159999999999995</v>
      </c>
      <c r="P14" s="44">
        <v>0.70259874750813422</v>
      </c>
      <c r="Q14" s="45">
        <v>1.6247044214388782</v>
      </c>
      <c r="R14" s="42">
        <v>0.15556938994506073</v>
      </c>
    </row>
    <row r="15" spans="2:22" ht="16" x14ac:dyDescent="0.2">
      <c r="C15" s="12" t="s">
        <v>4</v>
      </c>
      <c r="D15" s="60">
        <v>0.13</v>
      </c>
      <c r="E15">
        <v>20</v>
      </c>
      <c r="F15" s="46">
        <v>8.8982718100430329</v>
      </c>
      <c r="G15" s="47">
        <v>2.6295468366927439</v>
      </c>
      <c r="H15" s="46">
        <v>67.23851718766889</v>
      </c>
      <c r="I15" s="47">
        <v>23.00000444961308</v>
      </c>
      <c r="J15" s="52">
        <v>0.13233890606491422</v>
      </c>
      <c r="K15" s="53">
        <v>2.7581847798075407E-2</v>
      </c>
      <c r="L15" s="46">
        <v>837.8</v>
      </c>
      <c r="M15" s="47">
        <v>104.33759309727887</v>
      </c>
      <c r="N15" s="56">
        <f t="shared" si="0"/>
        <v>1.2460120107372729E-2</v>
      </c>
      <c r="O15" s="46">
        <v>-9.016</v>
      </c>
      <c r="P15" s="47">
        <v>0.79554698164218918</v>
      </c>
      <c r="Q15" s="49">
        <v>6.6206071248771812</v>
      </c>
      <c r="R15" s="50">
        <v>1.3296343053487458</v>
      </c>
    </row>
    <row r="16" spans="2:22" x14ac:dyDescent="0.2">
      <c r="E16" t="str">
        <f>"STDED/MEAN"</f>
        <v>STDED/MEAN</v>
      </c>
      <c r="F16" s="13">
        <f>STDEV(F9:F15)/AVERAGE(F9:F15)</f>
        <v>0.56098646482857839</v>
      </c>
      <c r="G16" s="13"/>
      <c r="H16" s="13">
        <f>STDEV(H9:H15)/AVERAGE(H9:H15)</f>
        <v>1.5448422563473614</v>
      </c>
      <c r="I16" s="13"/>
      <c r="J16" s="13">
        <f t="shared" ref="J16:Q16" si="1">STDEV(J9:J15)/AVERAGE(J9:J15)</f>
        <v>0.82484113832353045</v>
      </c>
      <c r="K16" s="13"/>
      <c r="L16" s="13">
        <f t="shared" si="1"/>
        <v>2.1030891294571146</v>
      </c>
      <c r="M16" s="13"/>
      <c r="N16" s="13">
        <f t="shared" si="1"/>
        <v>1.0173054099243954</v>
      </c>
      <c r="O16" s="13">
        <f>STDEV(O9:O15)/AVERAGE(O9:O15)</f>
        <v>-0.31796164321193304</v>
      </c>
      <c r="P16" s="13"/>
      <c r="Q16" s="13">
        <f t="shared" si="1"/>
        <v>0.61061242565728691</v>
      </c>
    </row>
    <row r="17" spans="2:17" x14ac:dyDescent="0.2">
      <c r="E17" t="str">
        <f>"VAR"</f>
        <v>VAR</v>
      </c>
      <c r="F17" s="13">
        <f>VARP(F9:F15)</f>
        <v>116.62308862765973</v>
      </c>
      <c r="G17" s="13"/>
      <c r="H17" s="13">
        <f t="shared" ref="H17:Q17" si="2">VARP(H9:H15)</f>
        <v>765.23767637409139</v>
      </c>
      <c r="I17" s="13"/>
      <c r="J17" s="13">
        <f t="shared" si="2"/>
        <v>103.49142909162903</v>
      </c>
      <c r="K17" s="13"/>
      <c r="L17" s="13">
        <f t="shared" si="2"/>
        <v>82447.659544883121</v>
      </c>
      <c r="M17" s="13"/>
      <c r="N17" s="13">
        <f t="shared" si="2"/>
        <v>1.7327797165208192E-5</v>
      </c>
      <c r="O17" s="13">
        <f t="shared" si="2"/>
        <v>3.8999072222222191</v>
      </c>
      <c r="P17" s="13"/>
      <c r="Q17" s="13">
        <f t="shared" si="2"/>
        <v>3.1054447463907575</v>
      </c>
    </row>
    <row r="18" spans="2:17" x14ac:dyDescent="0.2">
      <c r="E18" t="str">
        <f>"MAX-MIN"</f>
        <v>MAX-MIN</v>
      </c>
      <c r="F18">
        <f t="shared" ref="F18:Q18" si="3">MAX(F9:F15)-MIN(F9:F15)</f>
        <v>27.947833119816714</v>
      </c>
      <c r="H18">
        <f t="shared" si="3"/>
        <v>66.813755698564549</v>
      </c>
      <c r="J18">
        <f t="shared" si="3"/>
        <v>24.524996826031508</v>
      </c>
      <c r="L18">
        <f t="shared" si="3"/>
        <v>837.548</v>
      </c>
      <c r="N18">
        <f t="shared" si="3"/>
        <v>1.1866845984213935E-2</v>
      </c>
      <c r="O18">
        <f t="shared" si="3"/>
        <v>6.1000000000000005</v>
      </c>
      <c r="Q18">
        <f t="shared" si="3"/>
        <v>5.6206071248771812</v>
      </c>
    </row>
    <row r="19" spans="2:17" x14ac:dyDescent="0.2">
      <c r="E19" t="str">
        <f>"|MAX-MIN/MEAN|"</f>
        <v>|MAX-MIN/MEAN|</v>
      </c>
      <c r="F19" s="13">
        <f>F18/AVERAGE(F9:F15)</f>
        <v>1.3441101479369064</v>
      </c>
      <c r="G19" s="13"/>
      <c r="H19" s="13">
        <f>H18/AVERAGE(H9:H15)</f>
        <v>3.4544463968630814</v>
      </c>
      <c r="I19" s="13"/>
      <c r="J19" s="13">
        <f>J18/AVERAGE(J9:J15)</f>
        <v>1.8409995651339961</v>
      </c>
      <c r="K19" s="13"/>
      <c r="L19" s="13">
        <f>L18/AVERAGE(L9:L15)</f>
        <v>5.6794309498993849</v>
      </c>
      <c r="M19" s="13"/>
      <c r="N19" s="13">
        <f>N18/AVERAGE(N9:N15)</f>
        <v>2.6849832904046429</v>
      </c>
      <c r="O19" s="13">
        <f>ABS(O18/AVERAGE(O9:O15))</f>
        <v>0.89657537602273318</v>
      </c>
      <c r="P19" s="13"/>
      <c r="Q19" s="13">
        <f>Q18/AVERAGE(Q9:Q15)</f>
        <v>1.8030740758987907</v>
      </c>
    </row>
    <row r="21" spans="2:17" ht="17" x14ac:dyDescent="0.2">
      <c r="F21" s="19"/>
      <c r="G21" s="19"/>
      <c r="O21" t="s">
        <v>58</v>
      </c>
    </row>
    <row r="22" spans="2:17" x14ac:dyDescent="0.2">
      <c r="D22" s="12" t="s">
        <v>61</v>
      </c>
      <c r="E22" s="54" t="s">
        <v>60</v>
      </c>
      <c r="F22" s="19"/>
    </row>
    <row r="23" spans="2:17" x14ac:dyDescent="0.2">
      <c r="E23" s="19"/>
      <c r="F23" s="19"/>
    </row>
    <row r="24" spans="2:17" x14ac:dyDescent="0.2">
      <c r="E24" s="19"/>
      <c r="F24" s="19"/>
    </row>
    <row r="25" spans="2:17" x14ac:dyDescent="0.2">
      <c r="B25" s="12" t="s">
        <v>64</v>
      </c>
      <c r="E25" s="33" t="s">
        <v>66</v>
      </c>
    </row>
    <row r="26" spans="2:17" ht="18" x14ac:dyDescent="0.25">
      <c r="E26" s="33" t="s">
        <v>17</v>
      </c>
      <c r="F26" s="33" t="s">
        <v>62</v>
      </c>
      <c r="G26" s="33" t="s">
        <v>18</v>
      </c>
      <c r="H26" s="33" t="s">
        <v>55</v>
      </c>
      <c r="I26" s="33" t="s">
        <v>0</v>
      </c>
      <c r="J26" s="58" t="s">
        <v>70</v>
      </c>
      <c r="K26" s="58" t="s">
        <v>69</v>
      </c>
    </row>
    <row r="27" spans="2:17" x14ac:dyDescent="0.2">
      <c r="C27" s="12" t="s">
        <v>1</v>
      </c>
      <c r="D27" s="12" t="s">
        <v>1</v>
      </c>
      <c r="E27">
        <v>5</v>
      </c>
      <c r="F27">
        <v>5</v>
      </c>
      <c r="G27">
        <v>6</v>
      </c>
      <c r="H27">
        <v>1</v>
      </c>
      <c r="I27">
        <v>1</v>
      </c>
      <c r="J27">
        <v>1</v>
      </c>
      <c r="K27">
        <v>1</v>
      </c>
    </row>
    <row r="28" spans="2:17" x14ac:dyDescent="0.2">
      <c r="C28" s="12" t="s">
        <v>14</v>
      </c>
      <c r="D28" s="12" t="s">
        <v>14</v>
      </c>
      <c r="E28">
        <v>3</v>
      </c>
      <c r="F28">
        <v>4</v>
      </c>
      <c r="G28">
        <v>3</v>
      </c>
      <c r="H28">
        <v>4</v>
      </c>
      <c r="I28">
        <v>3</v>
      </c>
      <c r="J28">
        <v>4</v>
      </c>
      <c r="K28">
        <v>4</v>
      </c>
    </row>
    <row r="29" spans="2:17" x14ac:dyDescent="0.2">
      <c r="C29" s="12" t="s">
        <v>2</v>
      </c>
      <c r="D29" s="12" t="s">
        <v>2</v>
      </c>
      <c r="E29">
        <v>1</v>
      </c>
      <c r="F29">
        <v>3</v>
      </c>
      <c r="G29">
        <v>4</v>
      </c>
      <c r="H29">
        <v>5</v>
      </c>
      <c r="I29">
        <v>6</v>
      </c>
      <c r="J29">
        <v>3</v>
      </c>
      <c r="K29">
        <v>5</v>
      </c>
    </row>
    <row r="30" spans="2:17" x14ac:dyDescent="0.2">
      <c r="C30" s="12" t="s">
        <v>3</v>
      </c>
      <c r="D30" s="12" t="s">
        <v>3</v>
      </c>
      <c r="E30">
        <v>2</v>
      </c>
      <c r="F30">
        <v>2</v>
      </c>
      <c r="G30">
        <v>2</v>
      </c>
      <c r="H30">
        <v>4</v>
      </c>
      <c r="I30">
        <v>5</v>
      </c>
      <c r="J30">
        <v>4</v>
      </c>
      <c r="K30">
        <v>6</v>
      </c>
    </row>
    <row r="31" spans="2:17" x14ac:dyDescent="0.2">
      <c r="C31" s="12" t="s">
        <v>15</v>
      </c>
      <c r="D31" s="12" t="s">
        <v>15</v>
      </c>
      <c r="E31">
        <v>4</v>
      </c>
      <c r="F31">
        <v>6</v>
      </c>
      <c r="G31">
        <v>5</v>
      </c>
      <c r="H31">
        <v>3</v>
      </c>
      <c r="I31">
        <v>4</v>
      </c>
      <c r="J31">
        <v>2</v>
      </c>
      <c r="K31">
        <v>2</v>
      </c>
    </row>
    <row r="32" spans="2:17" x14ac:dyDescent="0.2">
      <c r="C32" s="12" t="s">
        <v>16</v>
      </c>
      <c r="D32" s="12" t="s">
        <v>16</v>
      </c>
      <c r="E32">
        <v>6</v>
      </c>
      <c r="F32">
        <v>7</v>
      </c>
      <c r="G32">
        <v>7</v>
      </c>
      <c r="H32">
        <v>2</v>
      </c>
      <c r="I32">
        <v>2</v>
      </c>
      <c r="J32">
        <v>2</v>
      </c>
      <c r="K32">
        <v>3</v>
      </c>
    </row>
    <row r="33" spans="3:14" x14ac:dyDescent="0.2">
      <c r="C33" s="12" t="s">
        <v>4</v>
      </c>
      <c r="D33" s="12" t="s">
        <v>4</v>
      </c>
      <c r="E33">
        <v>7</v>
      </c>
      <c r="F33">
        <v>1</v>
      </c>
      <c r="G33">
        <v>1</v>
      </c>
      <c r="H33">
        <v>6</v>
      </c>
      <c r="I33">
        <v>7</v>
      </c>
      <c r="J33">
        <v>4</v>
      </c>
      <c r="K33">
        <v>7</v>
      </c>
    </row>
    <row r="38" spans="3:14" x14ac:dyDescent="0.2">
      <c r="N38" s="57"/>
    </row>
    <row r="39" spans="3:14" x14ac:dyDescent="0.2">
      <c r="N39" s="57"/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651DA-2547-41BF-B5EC-116A7AFAA925}">
  <dimension ref="B1:K23"/>
  <sheetViews>
    <sheetView workbookViewId="0">
      <selection activeCell="G12" sqref="G12"/>
    </sheetView>
  </sheetViews>
  <sheetFormatPr baseColWidth="10" defaultColWidth="8.83203125" defaultRowHeight="15" x14ac:dyDescent="0.2"/>
  <cols>
    <col min="5" max="5" width="9.5" bestFit="1" customWidth="1"/>
    <col min="6" max="6" width="24.6640625" customWidth="1"/>
    <col min="7" max="7" width="17.5" customWidth="1"/>
    <col min="10" max="10" width="21.5" style="23" customWidth="1"/>
    <col min="11" max="11" width="25.6640625" customWidth="1"/>
  </cols>
  <sheetData>
    <row r="1" spans="2:11" x14ac:dyDescent="0.2">
      <c r="C1" t="s">
        <v>38</v>
      </c>
      <c r="D1">
        <v>0.1</v>
      </c>
    </row>
    <row r="2" spans="2:11" x14ac:dyDescent="0.2">
      <c r="C2" t="s">
        <v>28</v>
      </c>
      <c r="D2">
        <v>4.5999999999999999E-2</v>
      </c>
      <c r="F2" s="61" t="s">
        <v>48</v>
      </c>
    </row>
    <row r="3" spans="2:11" x14ac:dyDescent="0.2">
      <c r="F3" s="61"/>
      <c r="J3" s="61" t="s">
        <v>44</v>
      </c>
      <c r="K3" s="61" t="s">
        <v>50</v>
      </c>
    </row>
    <row r="4" spans="2:11" x14ac:dyDescent="0.2">
      <c r="B4" s="15"/>
      <c r="C4" s="17" t="s">
        <v>27</v>
      </c>
      <c r="D4" s="15" t="s">
        <v>26</v>
      </c>
      <c r="E4" s="15" t="s">
        <v>37</v>
      </c>
      <c r="F4" s="61"/>
      <c r="G4" s="28" t="s">
        <v>47</v>
      </c>
      <c r="J4" s="61"/>
      <c r="K4" s="61"/>
    </row>
    <row r="5" spans="2:11" x14ac:dyDescent="0.2">
      <c r="B5" s="15" t="s">
        <v>25</v>
      </c>
      <c r="C5" s="16">
        <f>'IN VITRO abundance (Figure 4C)'!D6</f>
        <v>46.155224821425392</v>
      </c>
      <c r="D5" s="31">
        <f>'IN VITRO Table (for Fig 2 &amp; 3)'!J9</f>
        <v>15.926330469712401</v>
      </c>
      <c r="E5" s="31">
        <f>'IN VITRO Table (for Fig 2 &amp; 3)'!L9</f>
        <v>1.0438567524648354</v>
      </c>
      <c r="F5" s="27">
        <f>(C5*D5/$D$5/$D$2*E5-E5)/344</f>
        <v>3.0416725025760929</v>
      </c>
      <c r="G5" s="19">
        <f t="array" ref="G5:G11">'In vivo Growth+IC50 (new Fig5 )'!F4:F10</f>
        <v>2.1266666666666665</v>
      </c>
      <c r="J5" s="27">
        <v>100.85479053506701</v>
      </c>
      <c r="K5" s="19">
        <f>($J5*$D5/$D$5/$D$2*$E5-$E5)/344</f>
        <v>6.6500212783014971</v>
      </c>
    </row>
    <row r="6" spans="2:11" x14ac:dyDescent="0.2">
      <c r="B6" s="15" t="s">
        <v>24</v>
      </c>
      <c r="C6" s="16">
        <f>'IN VITRO abundance (Figure 4C)'!D7</f>
        <v>60.5374699913081</v>
      </c>
      <c r="D6" s="31">
        <f>'IN VITRO Table (for Fig 2 &amp; 3)'!J10</f>
        <v>24.3</v>
      </c>
      <c r="E6" s="31">
        <f>'IN VITRO Table (for Fig 2 &amp; 3)'!L10</f>
        <v>13.513999999999999</v>
      </c>
      <c r="F6" s="27">
        <f t="shared" ref="F6:F11" si="0">(C6*D6/$D$5/$D$2*E6-E6)/344</f>
        <v>78.843540520657228</v>
      </c>
      <c r="G6" s="19">
        <v>188.43333333333331</v>
      </c>
      <c r="J6" s="27">
        <v>46.831205535118407</v>
      </c>
      <c r="K6" s="19">
        <f t="shared" ref="K6:K10" si="1">($J6*$D6/$D$5/$D$2*$E6-$E6)/344</f>
        <v>60.983711456127757</v>
      </c>
    </row>
    <row r="7" spans="2:11" x14ac:dyDescent="0.2">
      <c r="B7" s="15" t="s">
        <v>23</v>
      </c>
      <c r="C7" s="16">
        <f>'IN VITRO abundance (Figure 4C)'!D8</f>
        <v>22.978551799736234</v>
      </c>
      <c r="D7" s="31">
        <f>'IN VITRO Table (for Fig 2 &amp; 3)'!J11</f>
        <v>5.8149870409624187</v>
      </c>
      <c r="E7" s="31">
        <f>'IN VITRO Table (for Fig 2 &amp; 3)'!L11</f>
        <v>13.318000000000001</v>
      </c>
      <c r="F7" s="27">
        <f t="shared" si="0"/>
        <v>7.0224833581384312</v>
      </c>
      <c r="G7" s="19">
        <v>43.866666666666667</v>
      </c>
      <c r="J7" s="27">
        <v>23.015237674848287</v>
      </c>
      <c r="K7" s="19">
        <f t="shared" si="1"/>
        <v>7.0337567511542964</v>
      </c>
    </row>
    <row r="8" spans="2:11" x14ac:dyDescent="0.2">
      <c r="B8" s="15" t="s">
        <v>22</v>
      </c>
      <c r="C8" s="16">
        <f>'IN VITRO abundance (Figure 4C)'!D9</f>
        <v>25.909731520450425</v>
      </c>
      <c r="D8" s="31">
        <f>'IN VITRO Table (for Fig 2 &amp; 3)'!J12</f>
        <v>0.5</v>
      </c>
      <c r="E8" s="31">
        <f>'IN VITRO Table (for Fig 2 &amp; 3)'!L12</f>
        <v>164.6</v>
      </c>
      <c r="F8" s="27">
        <f t="shared" si="0"/>
        <v>7.9826880536818487</v>
      </c>
      <c r="G8" s="19">
        <v>12.4</v>
      </c>
      <c r="J8" s="27">
        <v>30.184076535035029</v>
      </c>
      <c r="K8" s="19">
        <f t="shared" si="1"/>
        <v>9.3785337514454863</v>
      </c>
    </row>
    <row r="9" spans="2:11" x14ac:dyDescent="0.2">
      <c r="B9" s="15" t="s">
        <v>21</v>
      </c>
      <c r="C9" s="16">
        <f>'IN VITRO abundance (Figure 4C)'!D10</f>
        <v>55.193918309806079</v>
      </c>
      <c r="D9" s="31">
        <f>'IN VITRO Table (for Fig 2 &amp; 3)'!J13</f>
        <v>21.919968380166075</v>
      </c>
      <c r="E9" s="31">
        <f>'IN VITRO Table (for Fig 2 &amp; 3)'!L13</f>
        <v>1.7650000000000001</v>
      </c>
      <c r="F9" s="27">
        <f t="shared" si="0"/>
        <v>8.4679990406445445</v>
      </c>
      <c r="G9" s="19">
        <v>5.5673333333333339</v>
      </c>
      <c r="J9" s="27">
        <v>37.376518631117797</v>
      </c>
      <c r="K9" s="19">
        <f t="shared" si="1"/>
        <v>5.7327494738099851</v>
      </c>
    </row>
    <row r="10" spans="2:11" x14ac:dyDescent="0.2">
      <c r="B10" s="15" t="s">
        <v>20</v>
      </c>
      <c r="C10" s="16">
        <f>'IN VITRO abundance (Figure 4C)'!D11</f>
        <v>130.07539402254233</v>
      </c>
      <c r="D10" s="31">
        <f>'IN VITRO Table (for Fig 2 &amp; 3)'!J14</f>
        <v>24.657335732096421</v>
      </c>
      <c r="E10" s="31">
        <f>'IN VITRO Table (for Fig 2 &amp; 3)'!L14</f>
        <v>0.252</v>
      </c>
      <c r="F10" s="27">
        <f t="shared" si="0"/>
        <v>3.2063478012946103</v>
      </c>
      <c r="G10" s="19">
        <v>2.3330000000000002</v>
      </c>
      <c r="J10" s="27">
        <v>62.075777725617023</v>
      </c>
      <c r="K10" s="19">
        <f t="shared" si="1"/>
        <v>1.5297798730273053</v>
      </c>
    </row>
    <row r="11" spans="2:11" x14ac:dyDescent="0.2">
      <c r="B11" s="15" t="s">
        <v>19</v>
      </c>
      <c r="C11" s="16">
        <f>'IN VITRO abundance (Figure 4C)'!D12</f>
        <v>22.954125540320394</v>
      </c>
      <c r="D11" s="31">
        <f>'IN VITRO Table (for Fig 2 &amp; 3)'!J15</f>
        <v>0.13233890606491422</v>
      </c>
      <c r="E11" s="31">
        <f>'IN VITRO Table (for Fig 2 &amp; 3)'!L15</f>
        <v>837.8</v>
      </c>
      <c r="F11" s="27">
        <f t="shared" si="0"/>
        <v>7.6630298107187027</v>
      </c>
      <c r="G11" s="19">
        <v>5.1166666666666671</v>
      </c>
      <c r="J11" s="27">
        <v>15.233465546702103</v>
      </c>
      <c r="K11" s="19">
        <f>($J11*$D11/$D$5/$D$2*$E11-$E11)/344</f>
        <v>4.2663835023383276</v>
      </c>
    </row>
    <row r="12" spans="2:11" x14ac:dyDescent="0.2">
      <c r="F12" s="27"/>
      <c r="K12" s="19"/>
    </row>
    <row r="13" spans="2:11" ht="48" x14ac:dyDescent="0.2">
      <c r="C13" s="29"/>
      <c r="F13" s="22" t="s">
        <v>49</v>
      </c>
      <c r="G13" s="20"/>
      <c r="K13" s="30" t="s">
        <v>51</v>
      </c>
    </row>
    <row r="14" spans="2:11" x14ac:dyDescent="0.2">
      <c r="F14" s="20"/>
      <c r="G14" s="20"/>
      <c r="K14" s="20"/>
    </row>
    <row r="15" spans="2:11" x14ac:dyDescent="0.2">
      <c r="F15" s="20"/>
      <c r="G15" s="20"/>
      <c r="K15" s="20"/>
    </row>
    <row r="16" spans="2:11" x14ac:dyDescent="0.2">
      <c r="F16" s="20"/>
      <c r="G16" s="20"/>
      <c r="K16" s="20"/>
    </row>
    <row r="17" spans="2:11" x14ac:dyDescent="0.2">
      <c r="B17" s="12" t="s">
        <v>1</v>
      </c>
      <c r="F17" s="20"/>
      <c r="G17" s="20"/>
      <c r="K17" s="20"/>
    </row>
    <row r="18" spans="2:11" x14ac:dyDescent="0.2">
      <c r="B18" s="12" t="s">
        <v>14</v>
      </c>
      <c r="F18" s="20"/>
      <c r="G18" s="20"/>
      <c r="K18" s="20"/>
    </row>
    <row r="19" spans="2:11" x14ac:dyDescent="0.2">
      <c r="B19" s="12" t="s">
        <v>2</v>
      </c>
      <c r="F19" s="20"/>
      <c r="G19" s="20"/>
      <c r="K19" s="20"/>
    </row>
    <row r="20" spans="2:11" x14ac:dyDescent="0.2">
      <c r="B20" s="12" t="s">
        <v>3</v>
      </c>
      <c r="F20" s="20"/>
    </row>
    <row r="21" spans="2:11" x14ac:dyDescent="0.2">
      <c r="B21" s="12" t="s">
        <v>15</v>
      </c>
      <c r="F21" s="20"/>
    </row>
    <row r="22" spans="2:11" x14ac:dyDescent="0.2">
      <c r="B22" s="12" t="s">
        <v>16</v>
      </c>
      <c r="F22" s="20"/>
    </row>
    <row r="23" spans="2:11" x14ac:dyDescent="0.2">
      <c r="B23" s="12" t="s">
        <v>4</v>
      </c>
      <c r="F23" s="20"/>
    </row>
  </sheetData>
  <mergeCells count="3">
    <mergeCell ref="J3:J4"/>
    <mergeCell ref="K3:K4"/>
    <mergeCell ref="F2:F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S55"/>
  <sheetViews>
    <sheetView zoomScaleNormal="100" workbookViewId="0">
      <selection activeCell="L20" sqref="L20"/>
    </sheetView>
  </sheetViews>
  <sheetFormatPr baseColWidth="10" defaultColWidth="8.83203125" defaultRowHeight="15" x14ac:dyDescent="0.2"/>
  <cols>
    <col min="4" max="4" width="10.83203125" customWidth="1"/>
    <col min="5" max="5" width="10.33203125" bestFit="1" customWidth="1"/>
    <col min="6" max="6" width="10.33203125" customWidth="1"/>
    <col min="10" max="10" width="8.5" customWidth="1"/>
    <col min="11" max="11" width="13.5" customWidth="1"/>
  </cols>
  <sheetData>
    <row r="3" spans="2:9" x14ac:dyDescent="0.2">
      <c r="B3" s="3"/>
      <c r="C3" s="3"/>
      <c r="D3" s="63" t="s">
        <v>8</v>
      </c>
      <c r="E3" s="64"/>
      <c r="F3" s="65"/>
    </row>
    <row r="4" spans="2:9" x14ac:dyDescent="0.2">
      <c r="B4" s="3"/>
      <c r="C4" s="3"/>
      <c r="D4" s="39" t="s">
        <v>9</v>
      </c>
      <c r="E4" s="32"/>
      <c r="F4" s="40"/>
      <c r="H4" t="s">
        <v>56</v>
      </c>
      <c r="I4">
        <v>100.85479053506701</v>
      </c>
    </row>
    <row r="5" spans="2:9" ht="42" customHeight="1" x14ac:dyDescent="0.2">
      <c r="B5" s="2"/>
      <c r="C5" s="4" t="s">
        <v>0</v>
      </c>
      <c r="D5" s="37" t="s">
        <v>10</v>
      </c>
      <c r="E5" s="38" t="s">
        <v>57</v>
      </c>
      <c r="F5" s="5" t="s">
        <v>11</v>
      </c>
      <c r="H5" t="s">
        <v>0</v>
      </c>
      <c r="I5" t="s">
        <v>54</v>
      </c>
    </row>
    <row r="6" spans="2:9" x14ac:dyDescent="0.2">
      <c r="B6" s="1" t="s">
        <v>1</v>
      </c>
      <c r="C6" s="6">
        <v>1</v>
      </c>
      <c r="D6" s="14">
        <f>AVERAGE(D19:I19)</f>
        <v>46.155224821425392</v>
      </c>
      <c r="E6" s="8">
        <f>_xlfn.STDEV.S(D19:H19)</f>
        <v>16.782942993899816</v>
      </c>
      <c r="F6" s="10">
        <f>$I$4/C6</f>
        <v>100.85479053506701</v>
      </c>
      <c r="H6">
        <v>1</v>
      </c>
      <c r="I6">
        <f t="shared" ref="I6:I12" si="0">$I$4/H6</f>
        <v>100.85479053506701</v>
      </c>
    </row>
    <row r="7" spans="2:9" x14ac:dyDescent="0.2">
      <c r="B7" s="1" t="s">
        <v>5</v>
      </c>
      <c r="C7" s="6">
        <v>2.1535809164561583</v>
      </c>
      <c r="D7" s="14">
        <f t="shared" ref="D7:D12" si="1">AVERAGE(D20:I20)</f>
        <v>60.5374699913081</v>
      </c>
      <c r="E7" s="8">
        <f t="shared" ref="E7:E12" si="2">_xlfn.STDEV.S(D20:H20)</f>
        <v>28.627601106530303</v>
      </c>
      <c r="F7" s="10">
        <f t="shared" ref="F7:F12" si="3">$I$4/C7</f>
        <v>46.831205535118407</v>
      </c>
      <c r="H7">
        <v>1.6247044214388782</v>
      </c>
      <c r="I7">
        <f t="shared" si="0"/>
        <v>62.075777725617023</v>
      </c>
    </row>
    <row r="8" spans="2:9" x14ac:dyDescent="0.2">
      <c r="B8" s="1" t="s">
        <v>2</v>
      </c>
      <c r="C8" s="7">
        <v>4.382087726397196</v>
      </c>
      <c r="D8" s="14">
        <f t="shared" si="1"/>
        <v>22.978551799736234</v>
      </c>
      <c r="E8" s="8">
        <f t="shared" si="2"/>
        <v>16.981379406145592</v>
      </c>
      <c r="F8" s="10">
        <f t="shared" si="3"/>
        <v>23.015237674848287</v>
      </c>
      <c r="H8">
        <v>2.1535809164561583</v>
      </c>
      <c r="I8">
        <f t="shared" si="0"/>
        <v>46.831205535118407</v>
      </c>
    </row>
    <row r="9" spans="2:9" x14ac:dyDescent="0.2">
      <c r="B9" s="1" t="s">
        <v>3</v>
      </c>
      <c r="C9" s="7">
        <v>3.3413243707490476</v>
      </c>
      <c r="D9" s="14">
        <f t="shared" si="1"/>
        <v>25.909731520450425</v>
      </c>
      <c r="E9" s="8">
        <f t="shared" si="2"/>
        <v>21.33261374807142</v>
      </c>
      <c r="F9" s="10">
        <f t="shared" si="3"/>
        <v>30.184076535035029</v>
      </c>
      <c r="H9">
        <v>2.698346294111523</v>
      </c>
      <c r="I9">
        <f t="shared" si="0"/>
        <v>37.376518631117797</v>
      </c>
    </row>
    <row r="10" spans="2:9" x14ac:dyDescent="0.2">
      <c r="B10" s="1" t="s">
        <v>6</v>
      </c>
      <c r="C10" s="7">
        <v>2.698346294111523</v>
      </c>
      <c r="D10" s="14">
        <f t="shared" si="1"/>
        <v>55.193918309806079</v>
      </c>
      <c r="E10" s="8">
        <f t="shared" si="2"/>
        <v>28.487934962902045</v>
      </c>
      <c r="F10" s="10">
        <f t="shared" si="3"/>
        <v>37.376518631117797</v>
      </c>
      <c r="H10">
        <v>3.3413243707490476</v>
      </c>
      <c r="I10">
        <f t="shared" si="0"/>
        <v>30.184076535035029</v>
      </c>
    </row>
    <row r="11" spans="2:9" x14ac:dyDescent="0.2">
      <c r="B11" s="1" t="s">
        <v>7</v>
      </c>
      <c r="C11" s="7">
        <v>1.6247044214388782</v>
      </c>
      <c r="D11" s="14">
        <f t="shared" si="1"/>
        <v>130.07539402254233</v>
      </c>
      <c r="E11" s="8">
        <f t="shared" si="2"/>
        <v>27.965882679590354</v>
      </c>
      <c r="F11" s="10">
        <f t="shared" si="3"/>
        <v>62.075777725617023</v>
      </c>
      <c r="H11">
        <v>4.382087726397196</v>
      </c>
      <c r="I11">
        <f t="shared" si="0"/>
        <v>23.015237674848287</v>
      </c>
    </row>
    <row r="12" spans="2:9" x14ac:dyDescent="0.2">
      <c r="B12" s="1" t="s">
        <v>4</v>
      </c>
      <c r="C12" s="7">
        <v>6.6206071248771812</v>
      </c>
      <c r="D12" s="14">
        <f t="shared" si="1"/>
        <v>22.954125540320394</v>
      </c>
      <c r="E12" s="8">
        <f t="shared" si="2"/>
        <v>15.069972550847446</v>
      </c>
      <c r="F12" s="10">
        <f t="shared" si="3"/>
        <v>15.233465546702103</v>
      </c>
      <c r="H12">
        <v>6.6206071248771812</v>
      </c>
      <c r="I12">
        <f t="shared" si="0"/>
        <v>15.233465546702103</v>
      </c>
    </row>
    <row r="13" spans="2:9" x14ac:dyDescent="0.2">
      <c r="G13" s="9"/>
      <c r="H13" s="24"/>
      <c r="I13" s="24"/>
    </row>
    <row r="14" spans="2:9" x14ac:dyDescent="0.2">
      <c r="G14" s="11"/>
      <c r="H14" s="11"/>
      <c r="I14" s="11"/>
    </row>
    <row r="16" spans="2:9" x14ac:dyDescent="0.2">
      <c r="C16" s="62" t="s">
        <v>36</v>
      </c>
      <c r="D16" s="62"/>
      <c r="E16" s="62"/>
      <c r="F16" s="62"/>
    </row>
    <row r="18" spans="2:19" x14ac:dyDescent="0.2">
      <c r="D18" t="s">
        <v>41</v>
      </c>
      <c r="E18" t="s">
        <v>39</v>
      </c>
      <c r="F18" t="s">
        <v>40</v>
      </c>
      <c r="G18" t="s">
        <v>42</v>
      </c>
      <c r="H18" t="s">
        <v>43</v>
      </c>
      <c r="K18" s="20"/>
      <c r="L18">
        <f>PEARSON(H6:H12,I6:I12)</f>
        <v>-0.83725809273743412</v>
      </c>
    </row>
    <row r="19" spans="2:19" x14ac:dyDescent="0.2">
      <c r="B19" t="s">
        <v>1</v>
      </c>
      <c r="D19" s="19">
        <v>37.887112268847105</v>
      </c>
      <c r="E19" s="19">
        <v>21.483427362066308</v>
      </c>
      <c r="F19" s="19">
        <v>49.653629017111193</v>
      </c>
      <c r="G19" s="19">
        <v>59.467172773632235</v>
      </c>
      <c r="H19" s="19">
        <v>62.284782685470134</v>
      </c>
      <c r="J19" s="20"/>
      <c r="K19" s="19"/>
      <c r="L19">
        <f>L18^2</f>
        <v>0.70100111385432584</v>
      </c>
      <c r="M19" s="20"/>
      <c r="N19" s="20"/>
      <c r="O19" s="20"/>
      <c r="P19" s="20"/>
      <c r="Q19" s="20"/>
      <c r="R19" s="20"/>
      <c r="S19" s="20"/>
    </row>
    <row r="20" spans="2:19" x14ac:dyDescent="0.2">
      <c r="B20" t="s">
        <v>14</v>
      </c>
      <c r="D20" s="19">
        <v>52.2720129533772</v>
      </c>
      <c r="E20" s="19">
        <v>52.192857043722114</v>
      </c>
      <c r="F20" s="19">
        <v>21.321892226406767</v>
      </c>
      <c r="G20" s="19">
        <v>93.145760954871818</v>
      </c>
      <c r="H20" s="19">
        <v>83.754826778162624</v>
      </c>
      <c r="J20" s="20"/>
      <c r="K20" s="19"/>
      <c r="M20" s="20"/>
      <c r="N20" s="20"/>
      <c r="O20" s="20"/>
      <c r="P20" s="20"/>
      <c r="Q20" s="20"/>
      <c r="R20" s="20"/>
      <c r="S20" s="20"/>
    </row>
    <row r="21" spans="2:19" x14ac:dyDescent="0.2">
      <c r="B21" t="s">
        <v>2</v>
      </c>
      <c r="D21" s="19">
        <v>35.631007658283835</v>
      </c>
      <c r="E21" s="19">
        <v>12.289757609679413</v>
      </c>
      <c r="F21" s="19">
        <v>7.5887791863324221</v>
      </c>
      <c r="G21" s="19">
        <v>46.307242935734848</v>
      </c>
      <c r="H21" s="19">
        <v>13.075971608650651</v>
      </c>
      <c r="J21" s="20"/>
      <c r="K21" s="19"/>
      <c r="M21" s="20"/>
      <c r="N21" s="20"/>
      <c r="O21" s="20"/>
      <c r="P21" s="20"/>
      <c r="Q21" s="20"/>
      <c r="R21" s="20"/>
      <c r="S21" s="20"/>
    </row>
    <row r="22" spans="2:19" x14ac:dyDescent="0.2">
      <c r="B22" t="s">
        <v>3</v>
      </c>
      <c r="D22" s="19">
        <v>35.52772924553269</v>
      </c>
      <c r="E22" s="19">
        <v>15.672362418389316</v>
      </c>
      <c r="F22" s="19">
        <v>8.1829116171992915</v>
      </c>
      <c r="G22" s="19">
        <v>58.962531092968</v>
      </c>
      <c r="H22" s="19">
        <v>11.203123228162813</v>
      </c>
      <c r="J22" s="20"/>
      <c r="K22" s="19"/>
      <c r="M22" s="20"/>
      <c r="N22" s="20"/>
      <c r="O22" s="20"/>
      <c r="P22" s="20"/>
      <c r="Q22" s="20"/>
      <c r="R22" s="20"/>
      <c r="S22" s="20"/>
    </row>
    <row r="23" spans="2:19" x14ac:dyDescent="0.2">
      <c r="B23" t="s">
        <v>15</v>
      </c>
      <c r="D23" s="19">
        <v>53.866389972674902</v>
      </c>
      <c r="E23" s="19">
        <v>34.915758636184556</v>
      </c>
      <c r="F23" s="19">
        <v>20.145386353789476</v>
      </c>
      <c r="G23" s="19">
        <v>83.650932630917168</v>
      </c>
      <c r="H23" s="19">
        <v>83.391123955464252</v>
      </c>
      <c r="J23" s="20"/>
      <c r="K23" s="19"/>
      <c r="M23" s="20"/>
      <c r="N23" s="20"/>
      <c r="O23" s="20"/>
      <c r="P23" s="20"/>
      <c r="Q23" s="20"/>
      <c r="R23" s="20"/>
      <c r="S23" s="20"/>
    </row>
    <row r="24" spans="2:19" x14ac:dyDescent="0.2">
      <c r="B24" t="s">
        <v>16</v>
      </c>
      <c r="D24" s="19">
        <v>113.18237166898911</v>
      </c>
      <c r="E24" s="19">
        <v>141.51140300639383</v>
      </c>
      <c r="F24" s="19">
        <v>103.81172897782488</v>
      </c>
      <c r="G24" s="19">
        <v>118.37375716342591</v>
      </c>
      <c r="H24" s="19">
        <v>173.49770929607797</v>
      </c>
      <c r="J24" s="20"/>
      <c r="K24" s="19"/>
      <c r="M24" s="20"/>
      <c r="N24" s="20"/>
      <c r="O24" s="20"/>
      <c r="P24" s="20"/>
      <c r="Q24" s="20"/>
      <c r="R24" s="20"/>
      <c r="S24" s="20"/>
    </row>
    <row r="25" spans="2:19" x14ac:dyDescent="0.2">
      <c r="B25" t="s">
        <v>4</v>
      </c>
      <c r="D25" s="19">
        <v>21.723714157651099</v>
      </c>
      <c r="E25" s="19">
        <v>12.636013339276472</v>
      </c>
      <c r="F25" s="19">
        <v>6.2052981722415135</v>
      </c>
      <c r="G25" s="19">
        <v>44.834090867175867</v>
      </c>
      <c r="H25" s="19">
        <v>29.371511165257012</v>
      </c>
      <c r="J25" s="20"/>
      <c r="K25" s="19"/>
      <c r="M25" s="20"/>
      <c r="N25" s="20"/>
      <c r="O25" s="20"/>
      <c r="P25" s="20"/>
      <c r="Q25" s="20"/>
      <c r="R25" s="20"/>
      <c r="S25" s="20"/>
    </row>
    <row r="26" spans="2:19" x14ac:dyDescent="0.2">
      <c r="K26" s="19"/>
    </row>
    <row r="27" spans="2:19" x14ac:dyDescent="0.2">
      <c r="H27" s="20"/>
      <c r="K27" s="19"/>
    </row>
    <row r="28" spans="2:19" x14ac:dyDescent="0.2">
      <c r="H28" s="20"/>
    </row>
    <row r="29" spans="2:19" x14ac:dyDescent="0.2">
      <c r="H29" s="20"/>
    </row>
    <row r="30" spans="2:19" x14ac:dyDescent="0.2">
      <c r="H30" s="20"/>
    </row>
    <row r="31" spans="2:19" x14ac:dyDescent="0.2">
      <c r="H31" s="20"/>
    </row>
    <row r="32" spans="2:19" ht="15" customHeight="1" x14ac:dyDescent="0.2">
      <c r="H32" s="20"/>
    </row>
    <row r="33" spans="8:8" x14ac:dyDescent="0.2">
      <c r="H33" s="20"/>
    </row>
    <row r="51" spans="5:10" x14ac:dyDescent="0.2">
      <c r="E51" s="25"/>
      <c r="F51" s="26"/>
      <c r="G51" s="26"/>
      <c r="H51" s="26"/>
      <c r="I51" s="26"/>
      <c r="J51" s="26"/>
    </row>
    <row r="52" spans="5:10" x14ac:dyDescent="0.2">
      <c r="E52" s="26"/>
      <c r="F52" s="26"/>
      <c r="G52" s="26"/>
      <c r="H52" s="26"/>
      <c r="I52" s="26"/>
      <c r="J52" s="26"/>
    </row>
    <row r="53" spans="5:10" x14ac:dyDescent="0.2">
      <c r="E53" s="26"/>
      <c r="F53" s="26"/>
      <c r="G53" s="26"/>
      <c r="H53" s="26"/>
      <c r="I53" s="26"/>
      <c r="J53" s="26"/>
    </row>
    <row r="54" spans="5:10" x14ac:dyDescent="0.2">
      <c r="E54" s="26"/>
      <c r="F54" s="26"/>
      <c r="G54" s="26"/>
      <c r="H54" s="26"/>
      <c r="I54" s="26"/>
      <c r="J54" s="26"/>
    </row>
    <row r="55" spans="5:10" x14ac:dyDescent="0.2">
      <c r="E55" s="26"/>
      <c r="F55" s="26"/>
      <c r="G55" s="26"/>
      <c r="H55" s="26"/>
      <c r="I55" s="26"/>
      <c r="J55" s="26"/>
    </row>
  </sheetData>
  <sortState xmlns:xlrd2="http://schemas.microsoft.com/office/spreadsheetml/2017/richdata2" ref="H6:I12">
    <sortCondition ref="H6"/>
  </sortState>
  <mergeCells count="2">
    <mergeCell ref="C16:F16"/>
    <mergeCell ref="D3:F3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4D33B-4253-494D-B0A2-F8250E9F8C1A}">
  <dimension ref="B1:G20"/>
  <sheetViews>
    <sheetView tabSelected="1" workbookViewId="0">
      <selection activeCell="G4" sqref="G4:G10"/>
    </sheetView>
  </sheetViews>
  <sheetFormatPr baseColWidth="10" defaultColWidth="8.83203125" defaultRowHeight="15" x14ac:dyDescent="0.2"/>
  <cols>
    <col min="2" max="2" width="12.5" customWidth="1"/>
  </cols>
  <sheetData>
    <row r="1" spans="2:7" x14ac:dyDescent="0.2">
      <c r="B1" s="62" t="s">
        <v>36</v>
      </c>
      <c r="C1" s="62"/>
      <c r="D1" s="62"/>
      <c r="E1" s="62"/>
      <c r="F1" s="21"/>
    </row>
    <row r="2" spans="2:7" x14ac:dyDescent="0.2">
      <c r="C2" s="12" t="s">
        <v>68</v>
      </c>
    </row>
    <row r="3" spans="2:7" x14ac:dyDescent="0.2">
      <c r="C3" t="s">
        <v>29</v>
      </c>
      <c r="D3" t="s">
        <v>30</v>
      </c>
      <c r="E3" t="s">
        <v>31</v>
      </c>
      <c r="F3" s="12" t="s">
        <v>46</v>
      </c>
      <c r="G3" t="s">
        <v>45</v>
      </c>
    </row>
    <row r="4" spans="2:7" x14ac:dyDescent="0.2">
      <c r="B4" t="s">
        <v>1</v>
      </c>
      <c r="C4">
        <v>1.97</v>
      </c>
      <c r="D4">
        <v>2.29</v>
      </c>
      <c r="E4">
        <v>2.12</v>
      </c>
      <c r="F4">
        <f>AVERAGE(C4:E4)</f>
        <v>2.1266666666666665</v>
      </c>
      <c r="G4">
        <f>_xlfn.STDEV.S(C4:E4)</f>
        <v>0.16010413278030439</v>
      </c>
    </row>
    <row r="5" spans="2:7" x14ac:dyDescent="0.2">
      <c r="B5" t="s">
        <v>14</v>
      </c>
      <c r="C5">
        <v>194.7</v>
      </c>
      <c r="D5">
        <v>181.7</v>
      </c>
      <c r="E5">
        <v>188.9</v>
      </c>
      <c r="F5">
        <f t="shared" ref="F5:F20" si="0">AVERAGE(C5:E5)</f>
        <v>188.43333333333331</v>
      </c>
      <c r="G5">
        <f t="shared" ref="G5:G10" si="1">_xlfn.STDEV.S(C5:E5)</f>
        <v>6.5125519831578575</v>
      </c>
    </row>
    <row r="6" spans="2:7" x14ac:dyDescent="0.2">
      <c r="B6" t="s">
        <v>2</v>
      </c>
      <c r="C6">
        <v>46.3</v>
      </c>
      <c r="D6">
        <v>43.3</v>
      </c>
      <c r="E6">
        <v>42</v>
      </c>
      <c r="F6">
        <f t="shared" si="0"/>
        <v>43.866666666666667</v>
      </c>
      <c r="G6">
        <f t="shared" si="1"/>
        <v>2.2052966542697443</v>
      </c>
    </row>
    <row r="7" spans="2:7" x14ac:dyDescent="0.2">
      <c r="B7" t="s">
        <v>3</v>
      </c>
      <c r="C7">
        <v>15</v>
      </c>
      <c r="D7">
        <v>11.7</v>
      </c>
      <c r="E7">
        <v>10.5</v>
      </c>
      <c r="F7">
        <f t="shared" si="0"/>
        <v>12.4</v>
      </c>
      <c r="G7">
        <f t="shared" si="1"/>
        <v>2.3302360395462043</v>
      </c>
    </row>
    <row r="8" spans="2:7" x14ac:dyDescent="0.2">
      <c r="B8" t="s">
        <v>15</v>
      </c>
      <c r="C8">
        <v>5.49</v>
      </c>
      <c r="D8">
        <v>5.7320000000000002</v>
      </c>
      <c r="E8">
        <v>5.48</v>
      </c>
      <c r="F8">
        <f t="shared" si="0"/>
        <v>5.5673333333333339</v>
      </c>
      <c r="G8">
        <f t="shared" si="1"/>
        <v>0.1426931439605047</v>
      </c>
    </row>
    <row r="9" spans="2:7" x14ac:dyDescent="0.2">
      <c r="B9" t="s">
        <v>16</v>
      </c>
      <c r="C9">
        <v>3.069</v>
      </c>
      <c r="D9">
        <v>1.46</v>
      </c>
      <c r="E9">
        <v>2.4700000000000002</v>
      </c>
      <c r="F9">
        <f t="shared" si="0"/>
        <v>2.3330000000000002</v>
      </c>
      <c r="G9">
        <f t="shared" si="1"/>
        <v>0.81320169699773592</v>
      </c>
    </row>
    <row r="10" spans="2:7" x14ac:dyDescent="0.2">
      <c r="B10" t="s">
        <v>4</v>
      </c>
      <c r="C10">
        <v>5.22</v>
      </c>
      <c r="D10">
        <v>5.15</v>
      </c>
      <c r="E10">
        <v>4.9800000000000004</v>
      </c>
      <c r="F10">
        <f t="shared" si="0"/>
        <v>5.1166666666666671</v>
      </c>
      <c r="G10">
        <f t="shared" si="1"/>
        <v>0.12342339054382383</v>
      </c>
    </row>
    <row r="12" spans="2:7" x14ac:dyDescent="0.2">
      <c r="C12" s="12" t="s">
        <v>32</v>
      </c>
      <c r="D12" s="12"/>
    </row>
    <row r="13" spans="2:7" x14ac:dyDescent="0.2">
      <c r="C13" t="s">
        <v>33</v>
      </c>
      <c r="D13" t="s">
        <v>34</v>
      </c>
      <c r="E13" t="s">
        <v>35</v>
      </c>
      <c r="F13" s="12" t="s">
        <v>46</v>
      </c>
      <c r="G13" t="s">
        <v>45</v>
      </c>
    </row>
    <row r="14" spans="2:7" x14ac:dyDescent="0.2">
      <c r="B14" t="s">
        <v>1</v>
      </c>
      <c r="C14">
        <v>0.59550000000000003</v>
      </c>
      <c r="D14">
        <v>0.68400000000000005</v>
      </c>
      <c r="E14">
        <v>0.6946</v>
      </c>
      <c r="F14">
        <f t="shared" si="0"/>
        <v>0.65803333333333336</v>
      </c>
      <c r="G14">
        <f>_xlfn.STDEV.S(C14:E14)</f>
        <v>5.4414183200093454E-2</v>
      </c>
    </row>
    <row r="15" spans="2:7" x14ac:dyDescent="0.2">
      <c r="B15" t="s">
        <v>14</v>
      </c>
      <c r="C15">
        <v>0.57550000000000001</v>
      </c>
      <c r="D15">
        <v>0.57140000000000002</v>
      </c>
      <c r="E15">
        <v>0.57698000000000005</v>
      </c>
      <c r="F15">
        <f t="shared" si="0"/>
        <v>0.57462666666666673</v>
      </c>
      <c r="G15">
        <f t="shared" ref="G15:G20" si="2">_xlfn.STDEV.S(C15:E15)</f>
        <v>2.8906977243104122E-3</v>
      </c>
    </row>
    <row r="16" spans="2:7" x14ac:dyDescent="0.2">
      <c r="B16" t="s">
        <v>2</v>
      </c>
      <c r="C16">
        <v>0.66969999999999996</v>
      </c>
      <c r="D16">
        <v>0.68689999999999996</v>
      </c>
      <c r="E16">
        <v>0.67779999999999996</v>
      </c>
      <c r="F16">
        <f t="shared" si="0"/>
        <v>0.67813333333333325</v>
      </c>
      <c r="G16">
        <f t="shared" si="2"/>
        <v>8.6048435972615606E-3</v>
      </c>
    </row>
    <row r="17" spans="2:7" x14ac:dyDescent="0.2">
      <c r="B17" t="s">
        <v>3</v>
      </c>
      <c r="C17">
        <v>0.56299999999999994</v>
      </c>
      <c r="D17">
        <v>0.58489999999999998</v>
      </c>
      <c r="E17">
        <v>0.61570000000000003</v>
      </c>
      <c r="F17">
        <f t="shared" si="0"/>
        <v>0.58786666666666665</v>
      </c>
      <c r="G17">
        <f t="shared" si="2"/>
        <v>2.6474956720140934E-2</v>
      </c>
    </row>
    <row r="18" spans="2:7" x14ac:dyDescent="0.2">
      <c r="B18" t="s">
        <v>15</v>
      </c>
      <c r="C18">
        <v>0.68369999999999997</v>
      </c>
      <c r="D18">
        <v>0.66679999999999995</v>
      </c>
      <c r="E18">
        <v>0.67500000000000004</v>
      </c>
      <c r="F18">
        <f t="shared" si="0"/>
        <v>0.67516666666666669</v>
      </c>
      <c r="G18">
        <f t="shared" si="2"/>
        <v>8.4512326517102547E-3</v>
      </c>
    </row>
    <row r="19" spans="2:7" x14ac:dyDescent="0.2">
      <c r="B19" t="s">
        <v>16</v>
      </c>
      <c r="C19" s="18">
        <v>0.53561316112188095</v>
      </c>
      <c r="D19" s="18">
        <v>0.59872571472913005</v>
      </c>
      <c r="E19" s="18">
        <v>0.57921157633245302</v>
      </c>
      <c r="F19">
        <f t="shared" si="0"/>
        <v>0.5711834840611546</v>
      </c>
      <c r="G19">
        <f t="shared" si="2"/>
        <v>3.2313098038478649E-2</v>
      </c>
    </row>
    <row r="20" spans="2:7" x14ac:dyDescent="0.2">
      <c r="B20" t="s">
        <v>4</v>
      </c>
      <c r="C20">
        <v>0.56799999999999995</v>
      </c>
      <c r="D20">
        <v>0.51100000000000001</v>
      </c>
      <c r="E20">
        <v>0.28399999999999997</v>
      </c>
      <c r="F20">
        <f t="shared" si="0"/>
        <v>0.45433333333333331</v>
      </c>
      <c r="G20">
        <f t="shared" si="2"/>
        <v>0.15024091764008002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 VITRO Table (for Fig 2 &amp; 3)</vt:lpstr>
      <vt:lpstr>IC50 prediction (Fig 4A &amp; 4B)</vt:lpstr>
      <vt:lpstr>IN VITRO abundance (Figure 4C)</vt:lpstr>
      <vt:lpstr>In vivo Growth+IC50 (new Fig5 )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2019-05-13T15:49:50Z</dcterms:modified>
</cp:coreProperties>
</file>