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2.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xl/webextensions/webextension4.xml" ContentType="application/vnd.ms-office.webextension+xml"/>
  <Override PartName="/xl/webextensions/webextension5.xml" ContentType="application/vnd.ms-office.webextension+xml"/>
  <Override PartName="/xl/webextensions/webextension6.xml" ContentType="application/vnd.ms-office.webextension+xml"/>
  <Override PartName="/xl/webextensions/webextension7.xml" ContentType="application/vnd.ms-office.webextension+xml"/>
  <Override PartName="/xl/webextensions/webextension8.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hidePivotFieldList="1"/>
  <mc:AlternateContent xmlns:mc="http://schemas.openxmlformats.org/markup-compatibility/2006">
    <mc:Choice Requires="x15">
      <x15ac:absPath xmlns:x15ac="http://schemas.microsoft.com/office/spreadsheetml/2010/11/ac" url="C:\Users\maaz\Downloads\"/>
    </mc:Choice>
  </mc:AlternateContent>
  <xr:revisionPtr revIDLastSave="0" documentId="8_{56C7FD18-16B0-494E-9EE4-3C70FECAFE33}" xr6:coauthVersionLast="47" xr6:coauthVersionMax="47" xr10:uidLastSave="{00000000-0000-0000-0000-000000000000}"/>
  <bookViews>
    <workbookView xWindow="2652" yWindow="2652" windowWidth="17280" windowHeight="9960" firstSheet="1" activeTab="1" xr2:uid="{00000000-000D-0000-FFFF-FFFF00000000}"/>
  </bookViews>
  <sheets>
    <sheet name="Sheet3" sheetId="17" state="hidden" r:id="rId1"/>
    <sheet name="SelloutPlan v1Main" sheetId="1" r:id="rId2"/>
    <sheet name="AirrTable" sheetId="19" state="hidden" r:id="rId3"/>
    <sheet name="Reports" sheetId="2" r:id="rId4"/>
    <sheet name="Airtable" sheetId="12" state="hidden" r:id="rId5"/>
    <sheet name="Collection" sheetId="3" r:id="rId6"/>
    <sheet name="Closed Sale" sheetId="18" state="hidden" r:id="rId7"/>
    <sheet name="GPT cache" sheetId="4" state="veryHidden" r:id="rId8"/>
    <sheet name="Closed Requests" sheetId="20" r:id="rId9"/>
  </sheets>
  <definedNames>
    <definedName name="_xlnm._FilterDatabase" localSheetId="1" hidden="1">'SelloutPlan v1Main'!$AE$1:$AE$434</definedName>
    <definedName name="_xlcn.WorksheetConnection_CRCSelloutPlan2025.xlsmOpenPendingCases" hidden="1">OpenPendingCases[]</definedName>
    <definedName name="_xlcn.WorksheetConnection_CRCSelloutPlan2025.xlsmTable6" hidden="1">Table6[]</definedName>
    <definedName name="Slicer_SALES_ASSOCIATE">#N/A</definedName>
  </definedNames>
  <calcPr calcId="191028"/>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6" name="Table6" connection="WorksheetConnection_CRC - Sellout Plan  2025.xlsm!Table6"/>
          <x15:modelTable id="OpenPendingCases" name="OpenPendingCases" connection="WorksheetConnection_CRC - Sellout Plan  2025.xlsm!OpenPendingCases"/>
        </x15:modelTables>
        <x15:extLst>
          <ext xmlns:x16="http://schemas.microsoft.com/office/spreadsheetml/2014/11/main" uri="{9835A34E-60A6-4A7C-AAB8-D5F71C897F49}">
            <x16:modelTimeGroupings>
              <x16:modelTimeGrouping tableName="OpenPendingCases" columnName="Request Entry Date" columnId="Request Entry Date">
                <x16:calculatedTimeColumn columnName="Request Entry Date (Month Index)" columnId="Request Entry Date (Month Index)" contentType="monthsindex" isSelected="1"/>
                <x16:calculatedTimeColumn columnName="Request Entry Date (Month)" columnId="Request Entry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9" i="1" l="1"/>
  <c r="AJ9" i="1"/>
  <c r="D551" i="1"/>
  <c r="E551" i="1"/>
  <c r="D569" i="1"/>
  <c r="P10" i="1"/>
  <c r="Q10" i="1"/>
  <c r="R10" i="1" s="1"/>
  <c r="W10" i="1"/>
  <c r="AA10" i="1"/>
  <c r="AB10" i="1"/>
  <c r="AC10" i="1"/>
  <c r="AD10" i="1"/>
  <c r="AI569" i="1"/>
  <c r="AJ569" i="1"/>
  <c r="AK569" i="1"/>
  <c r="AM569" i="1"/>
  <c r="K18" i="1"/>
  <c r="AJ18" i="1"/>
  <c r="AI18" i="1"/>
  <c r="AD18" i="1"/>
  <c r="AC18" i="1"/>
  <c r="AB18" i="1"/>
  <c r="AA18" i="1"/>
  <c r="Q18" i="1"/>
  <c r="P18" i="1"/>
  <c r="J18" i="1"/>
  <c r="E18" i="1"/>
  <c r="D18" i="1"/>
  <c r="J19" i="1"/>
  <c r="D19" i="1"/>
  <c r="E19" i="1"/>
  <c r="P19" i="1"/>
  <c r="Q19" i="1"/>
  <c r="R19" i="1" s="1"/>
  <c r="AA19" i="1"/>
  <c r="AB19" i="1"/>
  <c r="AC19" i="1"/>
  <c r="AD19" i="1"/>
  <c r="AI19" i="1"/>
  <c r="AJ19" i="1"/>
  <c r="AK19" i="1"/>
  <c r="AL19" i="1"/>
  <c r="AM19" i="1"/>
  <c r="AA31" i="1"/>
  <c r="D568" i="1"/>
  <c r="E568" i="1"/>
  <c r="J568" i="1"/>
  <c r="K568" i="1"/>
  <c r="P568" i="1"/>
  <c r="Q568" i="1"/>
  <c r="AK568" i="1" s="1"/>
  <c r="W568" i="1"/>
  <c r="AA568" i="1"/>
  <c r="AB568" i="1"/>
  <c r="AC568" i="1"/>
  <c r="AD568" i="1"/>
  <c r="AI568" i="1"/>
  <c r="AJ568" i="1"/>
  <c r="D13" i="1"/>
  <c r="E13" i="1"/>
  <c r="J13" i="1"/>
  <c r="P13" i="1"/>
  <c r="Q13" i="1"/>
  <c r="R13" i="1" s="1"/>
  <c r="AA13" i="1"/>
  <c r="AB13" i="1"/>
  <c r="AC13" i="1"/>
  <c r="AD13" i="1"/>
  <c r="AI13" i="1"/>
  <c r="AJ13" i="1"/>
  <c r="D12" i="1"/>
  <c r="E12" i="1"/>
  <c r="J12" i="1"/>
  <c r="P12" i="1"/>
  <c r="Q12" i="1"/>
  <c r="R12" i="1" s="1"/>
  <c r="AA12" i="1"/>
  <c r="AB12" i="1"/>
  <c r="AC12" i="1"/>
  <c r="AD12" i="1"/>
  <c r="AI12" i="1"/>
  <c r="AJ12" i="1"/>
  <c r="J11" i="1"/>
  <c r="D11" i="1"/>
  <c r="K11" i="1"/>
  <c r="P11" i="1"/>
  <c r="Q11" i="1"/>
  <c r="AK11" i="1" s="1"/>
  <c r="AA11" i="1"/>
  <c r="AB11" i="1"/>
  <c r="AC11" i="1"/>
  <c r="AD11" i="1"/>
  <c r="AI11" i="1"/>
  <c r="AJ11" i="1"/>
  <c r="AK3" i="18"/>
  <c r="AJ3" i="18"/>
  <c r="AI3" i="18"/>
  <c r="AH3" i="18"/>
  <c r="AG3" i="18"/>
  <c r="AB3" i="18"/>
  <c r="AA3" i="18"/>
  <c r="Z3" i="18"/>
  <c r="U3" i="18"/>
  <c r="Q3" i="18"/>
  <c r="R3" i="18" s="1"/>
  <c r="P3" i="18"/>
  <c r="J3" i="18"/>
  <c r="E3" i="18"/>
  <c r="D3" i="18"/>
  <c r="AK2" i="18"/>
  <c r="AJ2" i="18"/>
  <c r="AI2" i="18"/>
  <c r="AH2" i="18"/>
  <c r="AG2" i="18"/>
  <c r="AB2" i="18"/>
  <c r="AA2" i="18"/>
  <c r="Z2" i="18"/>
  <c r="Y2" i="18"/>
  <c r="U2" i="18"/>
  <c r="Q2" i="18"/>
  <c r="R2" i="18" s="1"/>
  <c r="P2" i="18"/>
  <c r="J2" i="18"/>
  <c r="E2" i="18"/>
  <c r="D2" i="18"/>
  <c r="E333" i="3"/>
  <c r="G333" i="3"/>
  <c r="E332" i="3"/>
  <c r="G332" i="3"/>
  <c r="E331" i="3"/>
  <c r="G331" i="3"/>
  <c r="E330" i="3"/>
  <c r="G330" i="3"/>
  <c r="E329" i="3"/>
  <c r="G329" i="3"/>
  <c r="AA27" i="1"/>
  <c r="E6" i="1"/>
  <c r="E7" i="1"/>
  <c r="E8" i="1"/>
  <c r="E9" i="1"/>
  <c r="E17" i="1"/>
  <c r="E21" i="1"/>
  <c r="E22" i="1"/>
  <c r="E23" i="1"/>
  <c r="E24" i="1"/>
  <c r="E25" i="1"/>
  <c r="E26" i="1"/>
  <c r="E29" i="1"/>
  <c r="E30"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D6" i="1"/>
  <c r="D7" i="1"/>
  <c r="D8" i="1"/>
  <c r="D14" i="1"/>
  <c r="D15" i="1"/>
  <c r="D16" i="1"/>
  <c r="D20" i="1"/>
  <c r="D21" i="1"/>
  <c r="D23" i="1"/>
  <c r="D24" i="1"/>
  <c r="D25" i="1"/>
  <c r="D33" i="1"/>
  <c r="D34" i="1"/>
  <c r="D35" i="1"/>
  <c r="D36" i="1"/>
  <c r="D37" i="1"/>
  <c r="D38" i="1"/>
  <c r="D39" i="1"/>
  <c r="D40" i="1"/>
  <c r="D41" i="1"/>
  <c r="D42" i="1"/>
  <c r="D43" i="1"/>
  <c r="D44" i="1"/>
  <c r="D45" i="1"/>
  <c r="D46" i="1"/>
  <c r="D47" i="1"/>
  <c r="D48" i="1"/>
  <c r="D49" i="1"/>
  <c r="D50" i="1"/>
  <c r="D51" i="1"/>
  <c r="D52" i="1"/>
  <c r="W25"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W6" i="1"/>
  <c r="W7" i="1"/>
  <c r="W8" i="1"/>
  <c r="W9" i="1"/>
  <c r="W14" i="1"/>
  <c r="W15" i="1"/>
  <c r="W16" i="1"/>
  <c r="W17" i="1"/>
  <c r="W20" i="1"/>
  <c r="W21" i="1"/>
  <c r="W23" i="1"/>
  <c r="W24" i="1"/>
  <c r="W26" i="1"/>
  <c r="W29"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AJ6" i="1"/>
  <c r="AJ7" i="1"/>
  <c r="AJ8" i="1"/>
  <c r="AJ10" i="1"/>
  <c r="AJ14" i="1"/>
  <c r="AJ15" i="1"/>
  <c r="AJ16" i="1"/>
  <c r="AJ17"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 i="1"/>
  <c r="AJ560" i="1"/>
  <c r="AJ561" i="1"/>
  <c r="AJ562" i="1"/>
  <c r="AJ563" i="1"/>
  <c r="AJ564" i="1"/>
  <c r="AJ565" i="1"/>
  <c r="AJ566" i="1"/>
  <c r="AJ567"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552" i="1"/>
  <c r="D553" i="1"/>
  <c r="D554" i="1"/>
  <c r="D555" i="1"/>
  <c r="D556" i="1"/>
  <c r="D557" i="1"/>
  <c r="D558" i="1"/>
  <c r="D559" i="1"/>
  <c r="D560" i="1"/>
  <c r="D561" i="1"/>
  <c r="D562" i="1"/>
  <c r="D563" i="1"/>
  <c r="D564" i="1"/>
  <c r="D565" i="1"/>
  <c r="D566" i="1"/>
  <c r="D567" i="1"/>
  <c r="E552" i="1"/>
  <c r="E553" i="1"/>
  <c r="E554" i="1"/>
  <c r="E555" i="1"/>
  <c r="E556" i="1"/>
  <c r="E557" i="1"/>
  <c r="E558" i="1"/>
  <c r="E559" i="1"/>
  <c r="E560" i="1"/>
  <c r="E561" i="1"/>
  <c r="E562" i="1"/>
  <c r="E563" i="1"/>
  <c r="E564" i="1"/>
  <c r="E565" i="1"/>
  <c r="E566" i="1"/>
  <c r="E567" i="1"/>
  <c r="J551" i="1"/>
  <c r="J552" i="1"/>
  <c r="J553" i="1"/>
  <c r="J554" i="1"/>
  <c r="J555" i="1"/>
  <c r="J556" i="1"/>
  <c r="J557" i="1"/>
  <c r="J558" i="1"/>
  <c r="J559" i="1"/>
  <c r="J560" i="1"/>
  <c r="J561" i="1"/>
  <c r="J562" i="1"/>
  <c r="J563" i="1"/>
  <c r="J564" i="1"/>
  <c r="J565" i="1"/>
  <c r="J566" i="1"/>
  <c r="J567" i="1"/>
  <c r="P551" i="1"/>
  <c r="P552" i="1"/>
  <c r="P553" i="1"/>
  <c r="P554" i="1"/>
  <c r="P555" i="1"/>
  <c r="P556" i="1"/>
  <c r="P557" i="1"/>
  <c r="P558" i="1"/>
  <c r="P559" i="1"/>
  <c r="P560" i="1"/>
  <c r="P561" i="1"/>
  <c r="P562" i="1"/>
  <c r="P563" i="1"/>
  <c r="P564" i="1"/>
  <c r="P565" i="1"/>
  <c r="P566" i="1"/>
  <c r="P567" i="1"/>
  <c r="Q551" i="1"/>
  <c r="AK551" i="1" s="1"/>
  <c r="Q552" i="1"/>
  <c r="AK552" i="1" s="1"/>
  <c r="Q553" i="1"/>
  <c r="AK553" i="1" s="1"/>
  <c r="Q554" i="1"/>
  <c r="AL554" i="1" s="1"/>
  <c r="Q555" i="1"/>
  <c r="AM555" i="1" s="1"/>
  <c r="Q556" i="1"/>
  <c r="AL556" i="1" s="1"/>
  <c r="Q557" i="1"/>
  <c r="AM557" i="1" s="1"/>
  <c r="Q558" i="1"/>
  <c r="AM558" i="1" s="1"/>
  <c r="Q559" i="1"/>
  <c r="AM559" i="1" s="1"/>
  <c r="Q560" i="1"/>
  <c r="AM560" i="1" s="1"/>
  <c r="Q561" i="1"/>
  <c r="AM561" i="1" s="1"/>
  <c r="Q562" i="1"/>
  <c r="AL562" i="1" s="1"/>
  <c r="Q563" i="1"/>
  <c r="AK563" i="1" s="1"/>
  <c r="Q564" i="1"/>
  <c r="AK564" i="1" s="1"/>
  <c r="Q565" i="1"/>
  <c r="AM565" i="1" s="1"/>
  <c r="Q566" i="1"/>
  <c r="AM566" i="1" s="1"/>
  <c r="Q567" i="1"/>
  <c r="AL567" i="1" s="1"/>
  <c r="W551" i="1"/>
  <c r="W552" i="1"/>
  <c r="W553" i="1"/>
  <c r="W554" i="1"/>
  <c r="W555" i="1"/>
  <c r="W556" i="1"/>
  <c r="W557" i="1"/>
  <c r="W558" i="1"/>
  <c r="W559" i="1"/>
  <c r="W560" i="1"/>
  <c r="W561" i="1"/>
  <c r="W562" i="1"/>
  <c r="W563" i="1"/>
  <c r="W564" i="1"/>
  <c r="W565" i="1"/>
  <c r="W566" i="1"/>
  <c r="W567" i="1"/>
  <c r="AA551" i="1"/>
  <c r="AA552" i="1"/>
  <c r="AA553" i="1"/>
  <c r="AA554" i="1"/>
  <c r="AA555" i="1"/>
  <c r="AA556" i="1"/>
  <c r="AA557" i="1"/>
  <c r="AA558" i="1"/>
  <c r="AA559" i="1"/>
  <c r="AA560" i="1"/>
  <c r="AA561" i="1"/>
  <c r="AA562" i="1"/>
  <c r="AA563" i="1"/>
  <c r="AA564" i="1"/>
  <c r="AA565" i="1"/>
  <c r="AA566" i="1"/>
  <c r="AA567" i="1"/>
  <c r="AB551" i="1"/>
  <c r="AB552" i="1"/>
  <c r="AB553" i="1"/>
  <c r="AB554" i="1"/>
  <c r="AB555" i="1"/>
  <c r="AB556" i="1"/>
  <c r="AB557" i="1"/>
  <c r="AB558" i="1"/>
  <c r="AB559" i="1"/>
  <c r="AB560" i="1"/>
  <c r="AB561" i="1"/>
  <c r="AB562" i="1"/>
  <c r="AB563" i="1"/>
  <c r="AB564" i="1"/>
  <c r="AB565" i="1"/>
  <c r="AB566" i="1"/>
  <c r="AB567" i="1"/>
  <c r="AC551" i="1"/>
  <c r="AC552" i="1"/>
  <c r="AC553" i="1"/>
  <c r="AC554" i="1"/>
  <c r="AC555" i="1"/>
  <c r="AC556" i="1"/>
  <c r="AC557" i="1"/>
  <c r="AC558" i="1"/>
  <c r="AC559" i="1"/>
  <c r="AC560" i="1"/>
  <c r="AC561" i="1"/>
  <c r="AC562" i="1"/>
  <c r="AC563" i="1"/>
  <c r="AC564" i="1"/>
  <c r="AC565" i="1"/>
  <c r="AC566" i="1"/>
  <c r="AC567" i="1"/>
  <c r="AD551" i="1"/>
  <c r="AD552" i="1"/>
  <c r="AD553" i="1"/>
  <c r="AD554" i="1"/>
  <c r="AD555" i="1"/>
  <c r="AD556" i="1"/>
  <c r="AD557" i="1"/>
  <c r="AD558" i="1"/>
  <c r="AD559" i="1"/>
  <c r="AD560" i="1"/>
  <c r="AD561" i="1"/>
  <c r="AD562" i="1"/>
  <c r="AD563" i="1"/>
  <c r="AD564" i="1"/>
  <c r="AD565" i="1"/>
  <c r="AD566" i="1"/>
  <c r="AD567"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22" i="1"/>
  <c r="F2" i="12"/>
  <c r="G2" i="12" s="1"/>
  <c r="F3" i="12"/>
  <c r="G3" i="12" s="1"/>
  <c r="F4" i="12"/>
  <c r="G4" i="12" s="1"/>
  <c r="F5" i="12"/>
  <c r="G5" i="12" s="1"/>
  <c r="F6" i="12"/>
  <c r="G6" i="12" s="1"/>
  <c r="F7" i="12"/>
  <c r="G7" i="12" s="1"/>
  <c r="F8" i="12"/>
  <c r="G8" i="12" s="1"/>
  <c r="F9" i="12"/>
  <c r="G9" i="12" s="1"/>
  <c r="F10" i="12"/>
  <c r="G10" i="12" s="1"/>
  <c r="F11" i="12"/>
  <c r="G11" i="12" s="1"/>
  <c r="F12" i="12"/>
  <c r="G12" i="12" s="1"/>
  <c r="F13" i="12"/>
  <c r="G13" i="12" s="1"/>
  <c r="F14" i="12"/>
  <c r="G14" i="12" s="1"/>
  <c r="F15" i="12"/>
  <c r="G15" i="12" s="1"/>
  <c r="F16" i="12"/>
  <c r="G16" i="12" s="1"/>
  <c r="F17" i="12"/>
  <c r="G17" i="12" s="1"/>
  <c r="F18" i="12"/>
  <c r="G18" i="12" s="1"/>
  <c r="F19" i="12"/>
  <c r="G19" i="12" s="1"/>
  <c r="F20" i="12"/>
  <c r="G20" i="12" s="1"/>
  <c r="F21" i="12"/>
  <c r="G21" i="12" s="1"/>
  <c r="F22" i="12"/>
  <c r="G22" i="12" s="1"/>
  <c r="F23" i="12"/>
  <c r="G23" i="12" s="1"/>
  <c r="F24" i="12"/>
  <c r="G24" i="12" s="1"/>
  <c r="F25" i="12"/>
  <c r="G25" i="12" s="1"/>
  <c r="F26" i="12"/>
  <c r="G26" i="12" s="1"/>
  <c r="F27" i="12"/>
  <c r="G27" i="12" s="1"/>
  <c r="F28" i="12"/>
  <c r="G28" i="12" s="1"/>
  <c r="F29" i="12"/>
  <c r="G29" i="12" s="1"/>
  <c r="F30" i="12"/>
  <c r="G30" i="12" s="1"/>
  <c r="F31" i="12"/>
  <c r="G31" i="12" s="1"/>
  <c r="F32" i="12"/>
  <c r="G32" i="12" s="1"/>
  <c r="F33" i="12"/>
  <c r="G33" i="12" s="1"/>
  <c r="F34" i="12"/>
  <c r="G34" i="12" s="1"/>
  <c r="F35" i="12"/>
  <c r="G35" i="12" s="1"/>
  <c r="F36" i="12"/>
  <c r="G36" i="12" s="1"/>
  <c r="F37" i="12"/>
  <c r="G37" i="12" s="1"/>
  <c r="F38" i="12"/>
  <c r="G38" i="12" s="1"/>
  <c r="F39" i="12"/>
  <c r="G39" i="12" s="1"/>
  <c r="F40" i="12"/>
  <c r="G40" i="12" s="1"/>
  <c r="F41" i="12"/>
  <c r="G41" i="12" s="1"/>
  <c r="F42" i="12"/>
  <c r="G42" i="12" s="1"/>
  <c r="F43" i="12"/>
  <c r="G43" i="12" s="1"/>
  <c r="F44" i="12"/>
  <c r="G44" i="12" s="1"/>
  <c r="F45" i="12"/>
  <c r="G45" i="12" s="1"/>
  <c r="F46" i="12"/>
  <c r="G46" i="12" s="1"/>
  <c r="F47" i="12"/>
  <c r="G47" i="12" s="1"/>
  <c r="F48" i="12"/>
  <c r="G48" i="12" s="1"/>
  <c r="F49" i="12"/>
  <c r="G49" i="12" s="1"/>
  <c r="F50" i="12"/>
  <c r="G50" i="12" s="1"/>
  <c r="F51" i="12"/>
  <c r="G51" i="12" s="1"/>
  <c r="F52" i="12"/>
  <c r="G52" i="12" s="1"/>
  <c r="F53" i="12"/>
  <c r="G53" i="12" s="1"/>
  <c r="F54" i="12"/>
  <c r="G54" i="12" s="1"/>
  <c r="F55" i="12"/>
  <c r="G55" i="12" s="1"/>
  <c r="F56" i="12"/>
  <c r="G56" i="12" s="1"/>
  <c r="F57" i="12"/>
  <c r="G57" i="12" s="1"/>
  <c r="F58" i="12"/>
  <c r="G58" i="12" s="1"/>
  <c r="F59" i="12"/>
  <c r="G59" i="12" s="1"/>
  <c r="F60" i="12"/>
  <c r="G60" i="12" s="1"/>
  <c r="F61" i="12"/>
  <c r="G61" i="12" s="1"/>
  <c r="F62" i="12"/>
  <c r="G62" i="12" s="1"/>
  <c r="F63" i="12"/>
  <c r="G63" i="12" s="1"/>
  <c r="F64" i="12"/>
  <c r="G64" i="12" s="1"/>
  <c r="F65" i="12"/>
  <c r="G65" i="12" s="1"/>
  <c r="F66" i="12"/>
  <c r="G66" i="12" s="1"/>
  <c r="F67" i="12"/>
  <c r="G67" i="12" s="1"/>
  <c r="F68" i="12"/>
  <c r="G68" i="12" s="1"/>
  <c r="F69" i="12"/>
  <c r="G69" i="12" s="1"/>
  <c r="F70" i="12"/>
  <c r="G70" i="12" s="1"/>
  <c r="F71" i="12"/>
  <c r="G71" i="12" s="1"/>
  <c r="F72" i="12"/>
  <c r="G72" i="12" s="1"/>
  <c r="F73" i="12"/>
  <c r="G73" i="12" s="1"/>
  <c r="F74" i="12"/>
  <c r="G74" i="12" s="1"/>
  <c r="F75" i="12"/>
  <c r="G75" i="12" s="1"/>
  <c r="F76" i="12"/>
  <c r="G76" i="12" s="1"/>
  <c r="F77" i="12"/>
  <c r="G77" i="12" s="1"/>
  <c r="F78" i="12"/>
  <c r="G78" i="12" s="1"/>
  <c r="F79" i="12"/>
  <c r="G79" i="12" s="1"/>
  <c r="F80" i="12"/>
  <c r="G80" i="12" s="1"/>
  <c r="F81" i="12"/>
  <c r="G81" i="12" s="1"/>
  <c r="F82" i="12"/>
  <c r="G82" i="12" s="1"/>
  <c r="F83" i="12"/>
  <c r="G83" i="12" s="1"/>
  <c r="F84" i="12"/>
  <c r="G84" i="12" s="1"/>
  <c r="F85" i="12"/>
  <c r="G85" i="12" s="1"/>
  <c r="F86" i="12"/>
  <c r="G86" i="12" s="1"/>
  <c r="F87" i="12"/>
  <c r="G87" i="12" s="1"/>
  <c r="F88" i="12"/>
  <c r="G88" i="12" s="1"/>
  <c r="F89" i="12"/>
  <c r="G89" i="12" s="1"/>
  <c r="F90" i="12"/>
  <c r="G90" i="12" s="1"/>
  <c r="F91" i="12"/>
  <c r="G91" i="12" s="1"/>
  <c r="F92" i="12"/>
  <c r="G92" i="12" s="1"/>
  <c r="F93" i="12"/>
  <c r="G93" i="12" s="1"/>
  <c r="F94" i="12"/>
  <c r="G94" i="12" s="1"/>
  <c r="F95" i="12"/>
  <c r="G95" i="12" s="1"/>
  <c r="F96" i="12"/>
  <c r="G96" i="12" s="1"/>
  <c r="F97" i="12"/>
  <c r="G97" i="12" s="1"/>
  <c r="F98" i="12"/>
  <c r="G98" i="12" s="1"/>
  <c r="F99" i="12"/>
  <c r="G99" i="12" s="1"/>
  <c r="F100" i="12"/>
  <c r="G100" i="12" s="1"/>
  <c r="F101" i="12"/>
  <c r="G101" i="12" s="1"/>
  <c r="F102" i="12"/>
  <c r="G102" i="12" s="1"/>
  <c r="F103" i="12"/>
  <c r="G103" i="12" s="1"/>
  <c r="F104" i="12"/>
  <c r="G104" i="12" s="1"/>
  <c r="F105" i="12"/>
  <c r="G105" i="12" s="1"/>
  <c r="F106" i="12"/>
  <c r="G106" i="12" s="1"/>
  <c r="F107" i="12"/>
  <c r="G107" i="12" s="1"/>
  <c r="F108" i="12"/>
  <c r="G108" i="12" s="1"/>
  <c r="F109" i="12"/>
  <c r="G109" i="12" s="1"/>
  <c r="F110" i="12"/>
  <c r="G110" i="12" s="1"/>
  <c r="F111" i="12"/>
  <c r="G111" i="12" s="1"/>
  <c r="F112" i="12"/>
  <c r="G112" i="12" s="1"/>
  <c r="F113" i="12"/>
  <c r="G113" i="12" s="1"/>
  <c r="F114" i="12"/>
  <c r="G114" i="12" s="1"/>
  <c r="F115" i="12"/>
  <c r="G115" i="12" s="1"/>
  <c r="F116" i="12"/>
  <c r="G116" i="12" s="1"/>
  <c r="F117" i="12"/>
  <c r="G117" i="12" s="1"/>
  <c r="F118" i="12"/>
  <c r="G118" i="12" s="1"/>
  <c r="F119" i="12"/>
  <c r="G119" i="12" s="1"/>
  <c r="F120" i="12"/>
  <c r="G120" i="12" s="1"/>
  <c r="F121" i="12"/>
  <c r="G121" i="12" s="1"/>
  <c r="F122" i="12"/>
  <c r="G122" i="12" s="1"/>
  <c r="F123" i="12"/>
  <c r="G123" i="12" s="1"/>
  <c r="F124" i="12"/>
  <c r="G124" i="12" s="1"/>
  <c r="F125" i="12"/>
  <c r="G125" i="12" s="1"/>
  <c r="F126" i="12"/>
  <c r="G126" i="12" s="1"/>
  <c r="F127" i="12"/>
  <c r="G127" i="12" s="1"/>
  <c r="F128" i="12"/>
  <c r="G128" i="12" s="1"/>
  <c r="F129" i="12"/>
  <c r="G129" i="12" s="1"/>
  <c r="F130" i="12"/>
  <c r="G130" i="12" s="1"/>
  <c r="F131" i="12"/>
  <c r="G131" i="12" s="1"/>
  <c r="F132" i="12"/>
  <c r="G132" i="12" s="1"/>
  <c r="F133" i="12"/>
  <c r="G133" i="12" s="1"/>
  <c r="F134" i="12"/>
  <c r="G134" i="12" s="1"/>
  <c r="F135" i="12"/>
  <c r="G135" i="12" s="1"/>
  <c r="F136" i="12"/>
  <c r="G136" i="12" s="1"/>
  <c r="F137" i="12"/>
  <c r="G137" i="12" s="1"/>
  <c r="F138" i="12"/>
  <c r="G138" i="12" s="1"/>
  <c r="F139" i="12"/>
  <c r="G139" i="12" s="1"/>
  <c r="F140" i="12"/>
  <c r="G140" i="12" s="1"/>
  <c r="F141" i="12"/>
  <c r="G141" i="12" s="1"/>
  <c r="F142" i="12"/>
  <c r="G142" i="12" s="1"/>
  <c r="F143" i="12"/>
  <c r="G143" i="12" s="1"/>
  <c r="F144" i="12"/>
  <c r="G144" i="12" s="1"/>
  <c r="F145" i="12"/>
  <c r="G145" i="12" s="1"/>
  <c r="F146" i="12"/>
  <c r="G146" i="12" s="1"/>
  <c r="F147" i="12"/>
  <c r="G147" i="12" s="1"/>
  <c r="F148" i="12"/>
  <c r="G148" i="12" s="1"/>
  <c r="F149" i="12"/>
  <c r="G149" i="12" s="1"/>
  <c r="F150" i="12"/>
  <c r="G150" i="12" s="1"/>
  <c r="F151" i="12"/>
  <c r="G151" i="12" s="1"/>
  <c r="F152" i="12"/>
  <c r="G152" i="12" s="1"/>
  <c r="F153" i="12"/>
  <c r="G153" i="12" s="1"/>
  <c r="F154" i="12"/>
  <c r="G154" i="12" s="1"/>
  <c r="F155" i="12"/>
  <c r="G155" i="12" s="1"/>
  <c r="F156" i="12"/>
  <c r="G156" i="12" s="1"/>
  <c r="F157" i="12"/>
  <c r="G157" i="12" s="1"/>
  <c r="F158" i="12"/>
  <c r="G158" i="12" s="1"/>
  <c r="F159" i="12"/>
  <c r="G159" i="12" s="1"/>
  <c r="F160" i="12"/>
  <c r="G160" i="12" s="1"/>
  <c r="F161" i="12"/>
  <c r="G161" i="12" s="1"/>
  <c r="F162" i="12"/>
  <c r="G162" i="12" s="1"/>
  <c r="F163" i="12"/>
  <c r="G163" i="12" s="1"/>
  <c r="F164" i="12"/>
  <c r="G164" i="12" s="1"/>
  <c r="F165" i="12"/>
  <c r="G165" i="12" s="1"/>
  <c r="F166" i="12"/>
  <c r="G166" i="12" s="1"/>
  <c r="F167" i="12"/>
  <c r="G167" i="12" s="1"/>
  <c r="F168" i="12"/>
  <c r="G168" i="12" s="1"/>
  <c r="F169" i="12"/>
  <c r="G169" i="12" s="1"/>
  <c r="F170" i="12"/>
  <c r="G170" i="12" s="1"/>
  <c r="F171" i="12"/>
  <c r="G171" i="12" s="1"/>
  <c r="F172" i="12"/>
  <c r="G172" i="12" s="1"/>
  <c r="F173" i="12"/>
  <c r="G173" i="12" s="1"/>
  <c r="F174" i="12"/>
  <c r="G174" i="12" s="1"/>
  <c r="F175" i="12"/>
  <c r="G175" i="12" s="1"/>
  <c r="F176" i="12"/>
  <c r="G176" i="12" s="1"/>
  <c r="F177" i="12"/>
  <c r="G177" i="12" s="1"/>
  <c r="F178" i="12"/>
  <c r="G178" i="12" s="1"/>
  <c r="F179" i="12"/>
  <c r="G179" i="12" s="1"/>
  <c r="F180" i="12"/>
  <c r="G180" i="12" s="1"/>
  <c r="F181" i="12"/>
  <c r="G181" i="12" s="1"/>
  <c r="F182" i="12"/>
  <c r="G182" i="12" s="1"/>
  <c r="F183" i="12"/>
  <c r="G183" i="12" s="1"/>
  <c r="F184" i="12"/>
  <c r="G184" i="12" s="1"/>
  <c r="F185" i="12"/>
  <c r="G185" i="12" s="1"/>
  <c r="F186" i="12"/>
  <c r="G186" i="12" s="1"/>
  <c r="F187" i="12"/>
  <c r="G187" i="12" s="1"/>
  <c r="F188" i="12"/>
  <c r="G188" i="12" s="1"/>
  <c r="F189" i="12"/>
  <c r="G189" i="12" s="1"/>
  <c r="F190" i="12"/>
  <c r="G190" i="12" s="1"/>
  <c r="F191" i="12"/>
  <c r="G191" i="12" s="1"/>
  <c r="F192" i="12"/>
  <c r="G192" i="12" s="1"/>
  <c r="F193" i="12"/>
  <c r="G193" i="12" s="1"/>
  <c r="F194" i="12"/>
  <c r="G194" i="12" s="1"/>
  <c r="F195" i="12"/>
  <c r="G195" i="12" s="1"/>
  <c r="F196" i="12"/>
  <c r="G196" i="12" s="1"/>
  <c r="F197" i="12"/>
  <c r="G197" i="12" s="1"/>
  <c r="F198" i="12"/>
  <c r="G198" i="12" s="1"/>
  <c r="F199" i="12"/>
  <c r="G199" i="12" s="1"/>
  <c r="F200" i="12"/>
  <c r="G200" i="12" s="1"/>
  <c r="F201" i="12"/>
  <c r="G201" i="12" s="1"/>
  <c r="F202" i="12"/>
  <c r="G202" i="12" s="1"/>
  <c r="F203" i="12"/>
  <c r="G203" i="12" s="1"/>
  <c r="F204" i="12"/>
  <c r="G204" i="12" s="1"/>
  <c r="F205" i="12"/>
  <c r="G205" i="12" s="1"/>
  <c r="F206" i="12"/>
  <c r="G206" i="12" s="1"/>
  <c r="F207" i="12"/>
  <c r="G207" i="12" s="1"/>
  <c r="F208" i="12"/>
  <c r="G208" i="12" s="1"/>
  <c r="F209" i="12"/>
  <c r="G209" i="12" s="1"/>
  <c r="F210" i="12"/>
  <c r="G210" i="12" s="1"/>
  <c r="F211" i="12"/>
  <c r="G211" i="12" s="1"/>
  <c r="F212" i="12"/>
  <c r="G212" i="12" s="1"/>
  <c r="F213" i="12"/>
  <c r="G213" i="12" s="1"/>
  <c r="F214" i="12"/>
  <c r="G214" i="12" s="1"/>
  <c r="F215" i="12"/>
  <c r="G215" i="12" s="1"/>
  <c r="F216" i="12"/>
  <c r="G216" i="12" s="1"/>
  <c r="F217" i="12"/>
  <c r="G217" i="12" s="1"/>
  <c r="F218" i="12"/>
  <c r="G218" i="12" s="1"/>
  <c r="F219" i="12"/>
  <c r="G219" i="12" s="1"/>
  <c r="F220" i="12"/>
  <c r="G220" i="12" s="1"/>
  <c r="F221" i="12"/>
  <c r="G221" i="12" s="1"/>
  <c r="F222" i="12"/>
  <c r="G222" i="12" s="1"/>
  <c r="F223" i="12"/>
  <c r="G223" i="12" s="1"/>
  <c r="F224" i="12"/>
  <c r="G224" i="12" s="1"/>
  <c r="F225" i="12"/>
  <c r="G225" i="12" s="1"/>
  <c r="F226" i="12"/>
  <c r="G226" i="12" s="1"/>
  <c r="F227" i="12"/>
  <c r="G227" i="12" s="1"/>
  <c r="F228" i="12"/>
  <c r="G228" i="12" s="1"/>
  <c r="F229" i="12"/>
  <c r="G229" i="12" s="1"/>
  <c r="F230" i="12"/>
  <c r="G230" i="12" s="1"/>
  <c r="F231" i="12"/>
  <c r="G231" i="12" s="1"/>
  <c r="F232" i="12"/>
  <c r="G232" i="12" s="1"/>
  <c r="F233" i="12"/>
  <c r="G233" i="12" s="1"/>
  <c r="F234" i="12"/>
  <c r="G234" i="12" s="1"/>
  <c r="F235" i="12"/>
  <c r="G235" i="12" s="1"/>
  <c r="F236" i="12"/>
  <c r="G236" i="12" s="1"/>
  <c r="F237" i="12"/>
  <c r="G237" i="12" s="1"/>
  <c r="F238" i="12"/>
  <c r="G238" i="12" s="1"/>
  <c r="F239" i="12"/>
  <c r="G239" i="12" s="1"/>
  <c r="F240" i="12"/>
  <c r="G240" i="12" s="1"/>
  <c r="F241" i="12"/>
  <c r="G241" i="12" s="1"/>
  <c r="F242" i="12"/>
  <c r="G242" i="12" s="1"/>
  <c r="F243" i="12"/>
  <c r="G243" i="12" s="1"/>
  <c r="F244" i="12"/>
  <c r="G244" i="12" s="1"/>
  <c r="F245" i="12"/>
  <c r="G245" i="12" s="1"/>
  <c r="F246" i="12"/>
  <c r="G246" i="12" s="1"/>
  <c r="F247" i="12"/>
  <c r="G247" i="12" s="1"/>
  <c r="F248" i="12"/>
  <c r="G248" i="12" s="1"/>
  <c r="F249" i="12"/>
  <c r="G249" i="12" s="1"/>
  <c r="F250" i="12"/>
  <c r="G250" i="12" s="1"/>
  <c r="F251" i="12"/>
  <c r="G251" i="12" s="1"/>
  <c r="F252" i="12"/>
  <c r="G252" i="12" s="1"/>
  <c r="F253" i="12"/>
  <c r="G253" i="12" s="1"/>
  <c r="F254" i="12"/>
  <c r="G254" i="12" s="1"/>
  <c r="F255" i="12"/>
  <c r="G255" i="12" s="1"/>
  <c r="F256" i="12"/>
  <c r="G256" i="12" s="1"/>
  <c r="F257" i="12"/>
  <c r="G257" i="12" s="1"/>
  <c r="F258" i="12"/>
  <c r="G258" i="12" s="1"/>
  <c r="F259" i="12"/>
  <c r="G259" i="12" s="1"/>
  <c r="F260" i="12"/>
  <c r="G260" i="12" s="1"/>
  <c r="F261" i="12"/>
  <c r="G261" i="12" s="1"/>
  <c r="F262" i="12"/>
  <c r="G262" i="12" s="1"/>
  <c r="F263" i="12"/>
  <c r="G263" i="12" s="1"/>
  <c r="F264" i="12"/>
  <c r="G264" i="12" s="1"/>
  <c r="F265" i="12"/>
  <c r="G265" i="12" s="1"/>
  <c r="F266" i="12"/>
  <c r="G266" i="12" s="1"/>
  <c r="F267" i="12"/>
  <c r="G267" i="12" s="1"/>
  <c r="F268" i="12"/>
  <c r="G268" i="12" s="1"/>
  <c r="F269" i="12"/>
  <c r="G269" i="12" s="1"/>
  <c r="F270" i="12"/>
  <c r="G270" i="12" s="1"/>
  <c r="F271" i="12"/>
  <c r="G271" i="12" s="1"/>
  <c r="F272" i="12"/>
  <c r="G272" i="12" s="1"/>
  <c r="F273" i="12"/>
  <c r="G273" i="12" s="1"/>
  <c r="F274" i="12"/>
  <c r="G274" i="12" s="1"/>
  <c r="F275" i="12"/>
  <c r="G275" i="12" s="1"/>
  <c r="F276" i="12"/>
  <c r="G276" i="12" s="1"/>
  <c r="F277" i="12"/>
  <c r="G277" i="12" s="1"/>
  <c r="F278" i="12"/>
  <c r="G278" i="12" s="1"/>
  <c r="F279" i="12"/>
  <c r="G279" i="12" s="1"/>
  <c r="F280" i="12"/>
  <c r="G280" i="12" s="1"/>
  <c r="F281" i="12"/>
  <c r="G281" i="12" s="1"/>
  <c r="F282" i="12"/>
  <c r="G282" i="12" s="1"/>
  <c r="F283" i="12"/>
  <c r="G283" i="12" s="1"/>
  <c r="F284" i="12"/>
  <c r="G284" i="12" s="1"/>
  <c r="F285" i="12"/>
  <c r="G285" i="12" s="1"/>
  <c r="F286" i="12"/>
  <c r="G286" i="12" s="1"/>
  <c r="F287" i="12"/>
  <c r="G287" i="12" s="1"/>
  <c r="F288" i="12"/>
  <c r="G288" i="12" s="1"/>
  <c r="F289" i="12"/>
  <c r="G289" i="12" s="1"/>
  <c r="F290" i="12"/>
  <c r="G290" i="12" s="1"/>
  <c r="F291" i="12"/>
  <c r="G291" i="12" s="1"/>
  <c r="F292" i="12"/>
  <c r="G292" i="12" s="1"/>
  <c r="F293" i="12"/>
  <c r="G293" i="12" s="1"/>
  <c r="F294" i="12"/>
  <c r="G294" i="12" s="1"/>
  <c r="F295" i="12"/>
  <c r="G295" i="12" s="1"/>
  <c r="F296" i="12"/>
  <c r="G296" i="12" s="1"/>
  <c r="F297" i="12"/>
  <c r="G297" i="12" s="1"/>
  <c r="F298" i="12"/>
  <c r="G298" i="12" s="1"/>
  <c r="F299" i="12"/>
  <c r="G299" i="12" s="1"/>
  <c r="F300" i="12"/>
  <c r="G300" i="12" s="1"/>
  <c r="F301" i="12"/>
  <c r="G301" i="12" s="1"/>
  <c r="F302" i="12"/>
  <c r="G302" i="12" s="1"/>
  <c r="F303" i="12"/>
  <c r="G303" i="12" s="1"/>
  <c r="F304" i="12"/>
  <c r="G304" i="12" s="1"/>
  <c r="F305" i="12"/>
  <c r="G305" i="12" s="1"/>
  <c r="F306" i="12"/>
  <c r="G306" i="12" s="1"/>
  <c r="F307" i="12"/>
  <c r="G307" i="12" s="1"/>
  <c r="F308" i="12"/>
  <c r="G308" i="12" s="1"/>
  <c r="F309" i="12"/>
  <c r="G309" i="12" s="1"/>
  <c r="F310" i="12"/>
  <c r="G310" i="12" s="1"/>
  <c r="F311" i="12"/>
  <c r="G311" i="12" s="1"/>
  <c r="F312" i="12"/>
  <c r="G312" i="12" s="1"/>
  <c r="F313" i="12"/>
  <c r="G313" i="12" s="1"/>
  <c r="F314" i="12"/>
  <c r="G314" i="12" s="1"/>
  <c r="F315" i="12"/>
  <c r="G315" i="12" s="1"/>
  <c r="F316" i="12"/>
  <c r="G316" i="12" s="1"/>
  <c r="F317" i="12"/>
  <c r="G317" i="12" s="1"/>
  <c r="F318" i="12"/>
  <c r="G318" i="12" s="1"/>
  <c r="F319" i="12"/>
  <c r="G319" i="12" s="1"/>
  <c r="F320" i="12"/>
  <c r="G320" i="12" s="1"/>
  <c r="F321" i="12"/>
  <c r="G321" i="12" s="1"/>
  <c r="F322" i="12"/>
  <c r="G322" i="12" s="1"/>
  <c r="F323" i="12"/>
  <c r="G323" i="12" s="1"/>
  <c r="F324" i="12"/>
  <c r="G324" i="12" s="1"/>
  <c r="F325" i="12"/>
  <c r="G325" i="12" s="1"/>
  <c r="F326" i="12"/>
  <c r="G326" i="12" s="1"/>
  <c r="F327" i="12"/>
  <c r="G327" i="12" s="1"/>
  <c r="F328" i="12"/>
  <c r="G328" i="12" s="1"/>
  <c r="F329" i="12"/>
  <c r="G329" i="12" s="1"/>
  <c r="F330" i="12"/>
  <c r="G330" i="12" s="1"/>
  <c r="F331" i="12"/>
  <c r="G331" i="12" s="1"/>
  <c r="F332" i="12"/>
  <c r="G332" i="12" s="1"/>
  <c r="F333" i="12"/>
  <c r="G333" i="12" s="1"/>
  <c r="F334" i="12"/>
  <c r="G334" i="12" s="1"/>
  <c r="F335" i="12"/>
  <c r="G335" i="12" s="1"/>
  <c r="F336" i="12"/>
  <c r="G336" i="12" s="1"/>
  <c r="F337" i="12"/>
  <c r="G337" i="12" s="1"/>
  <c r="F338" i="12"/>
  <c r="G338" i="12" s="1"/>
  <c r="F339" i="12"/>
  <c r="G339" i="12" s="1"/>
  <c r="F340" i="12"/>
  <c r="G340" i="12" s="1"/>
  <c r="F341" i="12"/>
  <c r="G341" i="12" s="1"/>
  <c r="F342" i="12"/>
  <c r="G342" i="12" s="1"/>
  <c r="F343" i="12"/>
  <c r="G343" i="12" s="1"/>
  <c r="F344" i="12"/>
  <c r="G344" i="12" s="1"/>
  <c r="F345" i="12"/>
  <c r="G345" i="12" s="1"/>
  <c r="F346" i="12"/>
  <c r="G346" i="12" s="1"/>
  <c r="F347" i="12"/>
  <c r="G347" i="12" s="1"/>
  <c r="F348" i="12"/>
  <c r="G348" i="12" s="1"/>
  <c r="F349" i="12"/>
  <c r="G349" i="12" s="1"/>
  <c r="F350" i="12"/>
  <c r="G350" i="12" s="1"/>
  <c r="F351" i="12"/>
  <c r="G351" i="12" s="1"/>
  <c r="F352" i="12"/>
  <c r="G352" i="12" s="1"/>
  <c r="F353" i="12"/>
  <c r="G353" i="12" s="1"/>
  <c r="F354" i="12"/>
  <c r="G354" i="12" s="1"/>
  <c r="F355" i="12"/>
  <c r="G355" i="12" s="1"/>
  <c r="F356" i="12"/>
  <c r="G356" i="12" s="1"/>
  <c r="F357" i="12"/>
  <c r="G357" i="12" s="1"/>
  <c r="F358" i="12"/>
  <c r="G358" i="12" s="1"/>
  <c r="F359" i="12"/>
  <c r="G359" i="12" s="1"/>
  <c r="F360" i="12"/>
  <c r="G360" i="12" s="1"/>
  <c r="F361" i="12"/>
  <c r="G361" i="12" s="1"/>
  <c r="F362" i="12"/>
  <c r="G362" i="12" s="1"/>
  <c r="F363" i="12"/>
  <c r="G363" i="12" s="1"/>
  <c r="F364" i="12"/>
  <c r="G364" i="12" s="1"/>
  <c r="F365" i="12"/>
  <c r="G365" i="12" s="1"/>
  <c r="F366" i="12"/>
  <c r="G366" i="12" s="1"/>
  <c r="F367" i="12"/>
  <c r="G367" i="12" s="1"/>
  <c r="F368" i="12"/>
  <c r="G368" i="12" s="1"/>
  <c r="F369" i="12"/>
  <c r="G369" i="12" s="1"/>
  <c r="F370" i="12"/>
  <c r="G370" i="12" s="1"/>
  <c r="F371" i="12"/>
  <c r="G371" i="12" s="1"/>
  <c r="F372" i="12"/>
  <c r="G372" i="12" s="1"/>
  <c r="F373" i="12"/>
  <c r="G373" i="12" s="1"/>
  <c r="F374" i="12"/>
  <c r="G374" i="12" s="1"/>
  <c r="F375" i="12"/>
  <c r="G375" i="12" s="1"/>
  <c r="F376" i="12"/>
  <c r="G376" i="12" s="1"/>
  <c r="F377" i="12"/>
  <c r="G377" i="12" s="1"/>
  <c r="F378" i="12"/>
  <c r="G378" i="12" s="1"/>
  <c r="F379" i="12"/>
  <c r="G379" i="12" s="1"/>
  <c r="F380" i="12"/>
  <c r="G380" i="12" s="1"/>
  <c r="F381" i="12"/>
  <c r="G381" i="12" s="1"/>
  <c r="F382" i="12"/>
  <c r="G382" i="12" s="1"/>
  <c r="F383" i="12"/>
  <c r="G383" i="12" s="1"/>
  <c r="F384" i="12"/>
  <c r="G384" i="12" s="1"/>
  <c r="F385" i="12"/>
  <c r="G385" i="12" s="1"/>
  <c r="F386" i="12"/>
  <c r="G386" i="12" s="1"/>
  <c r="F387" i="12"/>
  <c r="G387" i="12" s="1"/>
  <c r="F388" i="12"/>
  <c r="G388" i="12" s="1"/>
  <c r="F389" i="12"/>
  <c r="G389" i="12" s="1"/>
  <c r="F390" i="12"/>
  <c r="G390" i="12" s="1"/>
  <c r="F391" i="12"/>
  <c r="G391" i="12" s="1"/>
  <c r="F392" i="12"/>
  <c r="G392" i="12" s="1"/>
  <c r="F393" i="12"/>
  <c r="G393" i="12" s="1"/>
  <c r="F394" i="12"/>
  <c r="G394" i="12" s="1"/>
  <c r="F395" i="12"/>
  <c r="G395" i="12" s="1"/>
  <c r="F396" i="12"/>
  <c r="G396" i="12" s="1"/>
  <c r="F397" i="12"/>
  <c r="G397" i="12" s="1"/>
  <c r="F398" i="12"/>
  <c r="G398" i="12" s="1"/>
  <c r="F399" i="12"/>
  <c r="G399" i="12" s="1"/>
  <c r="F400" i="12"/>
  <c r="G400" i="12" s="1"/>
  <c r="F401" i="12"/>
  <c r="G401" i="12" s="1"/>
  <c r="F402" i="12"/>
  <c r="G402" i="12" s="1"/>
  <c r="F403" i="12"/>
  <c r="G403" i="12" s="1"/>
  <c r="F404" i="12"/>
  <c r="G404" i="12" s="1"/>
  <c r="F405" i="12"/>
  <c r="G405" i="12" s="1"/>
  <c r="F406" i="12"/>
  <c r="G406" i="12" s="1"/>
  <c r="F407" i="12"/>
  <c r="G407" i="12" s="1"/>
  <c r="F408" i="12"/>
  <c r="G408" i="12" s="1"/>
  <c r="F409" i="12"/>
  <c r="G409" i="12" s="1"/>
  <c r="F410" i="12"/>
  <c r="G410" i="12" s="1"/>
  <c r="F411" i="12"/>
  <c r="G411" i="12" s="1"/>
  <c r="F412" i="12"/>
  <c r="G412" i="12" s="1"/>
  <c r="F413" i="12"/>
  <c r="G413" i="12" s="1"/>
  <c r="F414" i="12"/>
  <c r="G414" i="12" s="1"/>
  <c r="F415" i="12"/>
  <c r="G415" i="12" s="1"/>
  <c r="F416" i="12"/>
  <c r="G416" i="12" s="1"/>
  <c r="F417" i="12"/>
  <c r="G417" i="12" s="1"/>
  <c r="F418" i="12"/>
  <c r="G418" i="12" s="1"/>
  <c r="F419" i="12"/>
  <c r="G419" i="12" s="1"/>
  <c r="F420" i="12"/>
  <c r="G420" i="12" s="1"/>
  <c r="F421" i="12"/>
  <c r="G421" i="12" s="1"/>
  <c r="F422" i="12"/>
  <c r="G422" i="12" s="1"/>
  <c r="F423" i="12"/>
  <c r="G423" i="12" s="1"/>
  <c r="F424" i="12"/>
  <c r="G424" i="12" s="1"/>
  <c r="F425" i="12"/>
  <c r="G425" i="12" s="1"/>
  <c r="F426" i="12"/>
  <c r="G426" i="12" s="1"/>
  <c r="F427" i="12"/>
  <c r="G427" i="12" s="1"/>
  <c r="F428" i="12"/>
  <c r="G428" i="12" s="1"/>
  <c r="F429" i="12"/>
  <c r="G429" i="12" s="1"/>
  <c r="F430" i="12"/>
  <c r="G430" i="12" s="1"/>
  <c r="F431" i="12"/>
  <c r="G431" i="12" s="1"/>
  <c r="F432" i="12"/>
  <c r="G432" i="12" s="1"/>
  <c r="F433" i="12"/>
  <c r="G433" i="12" s="1"/>
  <c r="F434" i="12"/>
  <c r="G434" i="12" s="1"/>
  <c r="F435" i="12"/>
  <c r="G435" i="12" s="1"/>
  <c r="F436" i="12"/>
  <c r="G436" i="12" s="1"/>
  <c r="F437" i="12"/>
  <c r="G437" i="12" s="1"/>
  <c r="F438" i="12"/>
  <c r="G438" i="12" s="1"/>
  <c r="F439" i="12"/>
  <c r="G439" i="12" s="1"/>
  <c r="F440" i="12"/>
  <c r="G440" i="12" s="1"/>
  <c r="F441" i="12"/>
  <c r="G441" i="12" s="1"/>
  <c r="F442" i="12"/>
  <c r="G442" i="12" s="1"/>
  <c r="F443" i="12"/>
  <c r="G443" i="12" s="1"/>
  <c r="F444" i="12"/>
  <c r="G444" i="12" s="1"/>
  <c r="F445" i="12"/>
  <c r="G445" i="12" s="1"/>
  <c r="F446" i="12"/>
  <c r="G446" i="12" s="1"/>
  <c r="F447" i="12"/>
  <c r="G447" i="12" s="1"/>
  <c r="F448" i="12"/>
  <c r="G448" i="12" s="1"/>
  <c r="F449" i="12"/>
  <c r="G449" i="12" s="1"/>
  <c r="F450" i="12"/>
  <c r="G450" i="12" s="1"/>
  <c r="F451" i="12"/>
  <c r="G451" i="12" s="1"/>
  <c r="F452" i="12"/>
  <c r="G452" i="12" s="1"/>
  <c r="F453" i="12"/>
  <c r="G453" i="12" s="1"/>
  <c r="F454" i="12"/>
  <c r="G454" i="12" s="1"/>
  <c r="F455" i="12"/>
  <c r="G455" i="12" s="1"/>
  <c r="F456" i="12"/>
  <c r="G456" i="12" s="1"/>
  <c r="F457" i="12"/>
  <c r="G457" i="12" s="1"/>
  <c r="F458" i="12"/>
  <c r="G458" i="12" s="1"/>
  <c r="F459" i="12"/>
  <c r="G459" i="12" s="1"/>
  <c r="F460" i="12"/>
  <c r="G460" i="12" s="1"/>
  <c r="F461" i="12"/>
  <c r="G461" i="12" s="1"/>
  <c r="F462" i="12"/>
  <c r="G462" i="12" s="1"/>
  <c r="F463" i="12"/>
  <c r="G463" i="12" s="1"/>
  <c r="F464" i="12"/>
  <c r="G464" i="12" s="1"/>
  <c r="F465" i="12"/>
  <c r="G465" i="12" s="1"/>
  <c r="F466" i="12"/>
  <c r="G466" i="12" s="1"/>
  <c r="F467" i="12"/>
  <c r="G467" i="12" s="1"/>
  <c r="F468" i="12"/>
  <c r="G468" i="12" s="1"/>
  <c r="F469" i="12"/>
  <c r="G469" i="12" s="1"/>
  <c r="F470" i="12"/>
  <c r="G470" i="12" s="1"/>
  <c r="F471" i="12"/>
  <c r="G471" i="12" s="1"/>
  <c r="F472" i="12"/>
  <c r="G472" i="12" s="1"/>
  <c r="F473" i="12"/>
  <c r="G473" i="12" s="1"/>
  <c r="F474" i="12"/>
  <c r="G474" i="12" s="1"/>
  <c r="F475" i="12"/>
  <c r="G475" i="12" s="1"/>
  <c r="F476" i="12"/>
  <c r="G476" i="12" s="1"/>
  <c r="F477" i="12"/>
  <c r="G477" i="12" s="1"/>
  <c r="F478" i="12"/>
  <c r="G478" i="12" s="1"/>
  <c r="E2"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4" i="12"/>
  <c r="E315" i="12"/>
  <c r="E316" i="12"/>
  <c r="E317" i="12"/>
  <c r="E318" i="12"/>
  <c r="E319" i="12"/>
  <c r="E320" i="12"/>
  <c r="E321" i="12"/>
  <c r="E322" i="12"/>
  <c r="E323" i="12"/>
  <c r="E324" i="12"/>
  <c r="E325" i="12"/>
  <c r="E326" i="12"/>
  <c r="E327" i="12"/>
  <c r="E328" i="12"/>
  <c r="E329" i="12"/>
  <c r="E330" i="12"/>
  <c r="E331" i="12"/>
  <c r="E332" i="12"/>
  <c r="E333" i="12"/>
  <c r="E334" i="12"/>
  <c r="E335" i="12"/>
  <c r="E336" i="12"/>
  <c r="E337" i="12"/>
  <c r="E338" i="12"/>
  <c r="E339" i="12"/>
  <c r="E340" i="12"/>
  <c r="E341" i="12"/>
  <c r="E342" i="12"/>
  <c r="E343" i="12"/>
  <c r="E344" i="12"/>
  <c r="E345" i="12"/>
  <c r="E346" i="12"/>
  <c r="E347" i="12"/>
  <c r="E348" i="12"/>
  <c r="E349" i="12"/>
  <c r="E350" i="12"/>
  <c r="E351" i="12"/>
  <c r="E352" i="12"/>
  <c r="E353" i="12"/>
  <c r="E354" i="12"/>
  <c r="E355" i="12"/>
  <c r="E356" i="12"/>
  <c r="E357" i="12"/>
  <c r="E358" i="12"/>
  <c r="E359" i="12"/>
  <c r="E360" i="12"/>
  <c r="E361" i="12"/>
  <c r="E362" i="12"/>
  <c r="E363" i="12"/>
  <c r="E364" i="12"/>
  <c r="E365" i="12"/>
  <c r="E366" i="12"/>
  <c r="E367" i="12"/>
  <c r="E368" i="12"/>
  <c r="E369" i="12"/>
  <c r="E370" i="12"/>
  <c r="E371" i="12"/>
  <c r="E372" i="12"/>
  <c r="E373" i="12"/>
  <c r="E374" i="12"/>
  <c r="E375" i="12"/>
  <c r="E376" i="12"/>
  <c r="E377" i="12"/>
  <c r="E378" i="12"/>
  <c r="E379" i="12"/>
  <c r="E380" i="12"/>
  <c r="E381" i="12"/>
  <c r="E382" i="12"/>
  <c r="E383" i="12"/>
  <c r="E384" i="12"/>
  <c r="E385" i="12"/>
  <c r="E386" i="12"/>
  <c r="E387" i="12"/>
  <c r="E388" i="12"/>
  <c r="E389" i="12"/>
  <c r="E390" i="12"/>
  <c r="E391" i="12"/>
  <c r="E392" i="12"/>
  <c r="E393" i="12"/>
  <c r="E394" i="12"/>
  <c r="E395" i="12"/>
  <c r="E396" i="12"/>
  <c r="E397" i="12"/>
  <c r="E398" i="12"/>
  <c r="E399" i="12"/>
  <c r="E400" i="12"/>
  <c r="E401" i="12"/>
  <c r="E402" i="12"/>
  <c r="E403" i="12"/>
  <c r="E404" i="12"/>
  <c r="E405" i="12"/>
  <c r="E406" i="12"/>
  <c r="E407" i="12"/>
  <c r="E408" i="12"/>
  <c r="E409" i="12"/>
  <c r="E410" i="12"/>
  <c r="E411" i="12"/>
  <c r="E412" i="12"/>
  <c r="E413" i="12"/>
  <c r="E414" i="12"/>
  <c r="E415" i="12"/>
  <c r="E416" i="12"/>
  <c r="E417" i="12"/>
  <c r="E418" i="12"/>
  <c r="E419" i="12"/>
  <c r="E420" i="12"/>
  <c r="E421" i="12"/>
  <c r="E422" i="12"/>
  <c r="E423" i="12"/>
  <c r="E424" i="12"/>
  <c r="E425" i="12"/>
  <c r="E426" i="12"/>
  <c r="E427" i="12"/>
  <c r="E428" i="12"/>
  <c r="E429" i="12"/>
  <c r="E430" i="12"/>
  <c r="E431" i="12"/>
  <c r="E432" i="12"/>
  <c r="E433" i="12"/>
  <c r="E434" i="12"/>
  <c r="E435" i="12"/>
  <c r="E436" i="12"/>
  <c r="E437" i="12"/>
  <c r="E438" i="12"/>
  <c r="E439" i="12"/>
  <c r="E440" i="12"/>
  <c r="E441" i="12"/>
  <c r="E442" i="12"/>
  <c r="E443" i="12"/>
  <c r="E444" i="12"/>
  <c r="E445" i="12"/>
  <c r="E446" i="12"/>
  <c r="E447" i="12"/>
  <c r="E448" i="12"/>
  <c r="E449" i="12"/>
  <c r="E450" i="12"/>
  <c r="E451" i="12"/>
  <c r="E452" i="12"/>
  <c r="E453" i="12"/>
  <c r="E454" i="12"/>
  <c r="E455" i="12"/>
  <c r="E456" i="12"/>
  <c r="E457" i="12"/>
  <c r="E458" i="12"/>
  <c r="E459" i="12"/>
  <c r="E460" i="12"/>
  <c r="E461" i="12"/>
  <c r="E462" i="12"/>
  <c r="E463" i="12"/>
  <c r="E464" i="12"/>
  <c r="E465" i="12"/>
  <c r="E466" i="12"/>
  <c r="E467" i="12"/>
  <c r="E468" i="12"/>
  <c r="E469" i="12"/>
  <c r="E470" i="12"/>
  <c r="E471" i="12"/>
  <c r="E472" i="12"/>
  <c r="E473" i="12"/>
  <c r="E474" i="12"/>
  <c r="E475" i="12"/>
  <c r="E476" i="12"/>
  <c r="E477" i="12"/>
  <c r="E478" i="12"/>
  <c r="M2" i="12"/>
  <c r="M3" i="12"/>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2" i="12"/>
  <c r="M153" i="12"/>
  <c r="M154" i="12"/>
  <c r="M155" i="12"/>
  <c r="M156" i="12"/>
  <c r="M157" i="12"/>
  <c r="M158" i="12"/>
  <c r="M159" i="12"/>
  <c r="M160" i="12"/>
  <c r="M161" i="12"/>
  <c r="M162" i="12"/>
  <c r="M163" i="12"/>
  <c r="M164" i="12"/>
  <c r="M165" i="12"/>
  <c r="M166" i="12"/>
  <c r="M167" i="12"/>
  <c r="M168" i="12"/>
  <c r="M169" i="12"/>
  <c r="M170" i="12"/>
  <c r="M171" i="12"/>
  <c r="M172" i="12"/>
  <c r="M173" i="12"/>
  <c r="M174" i="12"/>
  <c r="M175" i="12"/>
  <c r="M176" i="12"/>
  <c r="M177" i="12"/>
  <c r="M178" i="12"/>
  <c r="M179" i="12"/>
  <c r="M180" i="12"/>
  <c r="M181" i="12"/>
  <c r="M182" i="12"/>
  <c r="M183" i="12"/>
  <c r="M184" i="12"/>
  <c r="M185" i="12"/>
  <c r="M186" i="12"/>
  <c r="M187" i="12"/>
  <c r="M188" i="12"/>
  <c r="M189" i="12"/>
  <c r="M190" i="12"/>
  <c r="M191" i="12"/>
  <c r="M192" i="12"/>
  <c r="M193" i="12"/>
  <c r="M194" i="12"/>
  <c r="M195" i="12"/>
  <c r="M196" i="12"/>
  <c r="M197" i="12"/>
  <c r="M198" i="12"/>
  <c r="M199" i="12"/>
  <c r="M200" i="12"/>
  <c r="M201" i="12"/>
  <c r="M202" i="12"/>
  <c r="M203" i="12"/>
  <c r="M204" i="12"/>
  <c r="M205" i="12"/>
  <c r="M206" i="12"/>
  <c r="M207" i="12"/>
  <c r="M208" i="12"/>
  <c r="M209" i="12"/>
  <c r="M210" i="12"/>
  <c r="M211" i="12"/>
  <c r="M212" i="12"/>
  <c r="M213" i="12"/>
  <c r="M214" i="12"/>
  <c r="M215" i="12"/>
  <c r="M216" i="12"/>
  <c r="M217" i="12"/>
  <c r="M218" i="12"/>
  <c r="M219" i="12"/>
  <c r="M220" i="12"/>
  <c r="M221" i="12"/>
  <c r="M222" i="12"/>
  <c r="M223" i="12"/>
  <c r="M224" i="12"/>
  <c r="M225" i="12"/>
  <c r="M226" i="12"/>
  <c r="M227" i="12"/>
  <c r="M228" i="12"/>
  <c r="M229" i="12"/>
  <c r="M230" i="12"/>
  <c r="M231" i="12"/>
  <c r="M232" i="12"/>
  <c r="M233" i="12"/>
  <c r="M234" i="12"/>
  <c r="M235" i="12"/>
  <c r="M236" i="12"/>
  <c r="M237" i="12"/>
  <c r="M238" i="12"/>
  <c r="M239" i="12"/>
  <c r="M240" i="12"/>
  <c r="M241" i="12"/>
  <c r="M242" i="12"/>
  <c r="M243" i="12"/>
  <c r="M244" i="12"/>
  <c r="M245" i="12"/>
  <c r="M246" i="12"/>
  <c r="M247" i="12"/>
  <c r="M248" i="12"/>
  <c r="M249" i="12"/>
  <c r="M250" i="12"/>
  <c r="M251" i="12"/>
  <c r="M252" i="12"/>
  <c r="M253" i="12"/>
  <c r="M254" i="12"/>
  <c r="M255" i="12"/>
  <c r="M256" i="12"/>
  <c r="M257" i="12"/>
  <c r="M258" i="12"/>
  <c r="M259" i="12"/>
  <c r="M260" i="12"/>
  <c r="M261" i="12"/>
  <c r="M262" i="12"/>
  <c r="M263" i="12"/>
  <c r="M264" i="12"/>
  <c r="M265" i="12"/>
  <c r="M266" i="12"/>
  <c r="M267" i="12"/>
  <c r="M268" i="12"/>
  <c r="M269" i="12"/>
  <c r="M270" i="12"/>
  <c r="M271" i="12"/>
  <c r="M272" i="12"/>
  <c r="M273" i="12"/>
  <c r="M274" i="12"/>
  <c r="M275" i="12"/>
  <c r="M276" i="12"/>
  <c r="M277" i="12"/>
  <c r="M278" i="12"/>
  <c r="M279" i="12"/>
  <c r="M280" i="12"/>
  <c r="M281" i="12"/>
  <c r="M282" i="12"/>
  <c r="M283" i="12"/>
  <c r="M284" i="12"/>
  <c r="M285" i="12"/>
  <c r="M286" i="12"/>
  <c r="M287" i="12"/>
  <c r="M288" i="12"/>
  <c r="M289" i="12"/>
  <c r="M290" i="12"/>
  <c r="M291" i="12"/>
  <c r="M292" i="12"/>
  <c r="M293" i="12"/>
  <c r="M294" i="12"/>
  <c r="M295" i="12"/>
  <c r="M296" i="12"/>
  <c r="M297" i="12"/>
  <c r="M298" i="12"/>
  <c r="M299" i="12"/>
  <c r="M300" i="12"/>
  <c r="M301" i="12"/>
  <c r="M302" i="12"/>
  <c r="M303" i="12"/>
  <c r="M304" i="12"/>
  <c r="M305" i="12"/>
  <c r="M306" i="12"/>
  <c r="M307" i="12"/>
  <c r="M308" i="12"/>
  <c r="M309" i="12"/>
  <c r="M310" i="12"/>
  <c r="M311" i="12"/>
  <c r="M312" i="12"/>
  <c r="M313" i="12"/>
  <c r="M314" i="12"/>
  <c r="M315" i="12"/>
  <c r="M316" i="12"/>
  <c r="M317" i="12"/>
  <c r="M318" i="12"/>
  <c r="M319" i="12"/>
  <c r="M320" i="12"/>
  <c r="M321" i="12"/>
  <c r="M322" i="12"/>
  <c r="M323" i="12"/>
  <c r="M324" i="12"/>
  <c r="M325" i="12"/>
  <c r="M326" i="12"/>
  <c r="M327" i="12"/>
  <c r="M328" i="12"/>
  <c r="M329" i="12"/>
  <c r="M330" i="12"/>
  <c r="M331" i="12"/>
  <c r="M332" i="12"/>
  <c r="M333" i="12"/>
  <c r="M334" i="12"/>
  <c r="M335" i="12"/>
  <c r="M336" i="12"/>
  <c r="M337" i="12"/>
  <c r="M338" i="12"/>
  <c r="M339" i="12"/>
  <c r="M340" i="12"/>
  <c r="M341" i="12"/>
  <c r="M342" i="12"/>
  <c r="M343" i="12"/>
  <c r="M344" i="12"/>
  <c r="M345" i="12"/>
  <c r="M346" i="12"/>
  <c r="M347" i="12"/>
  <c r="M348" i="12"/>
  <c r="M349" i="12"/>
  <c r="M350" i="12"/>
  <c r="M351" i="12"/>
  <c r="M352" i="12"/>
  <c r="M353" i="12"/>
  <c r="M354" i="12"/>
  <c r="M355" i="12"/>
  <c r="M356" i="12"/>
  <c r="M357" i="12"/>
  <c r="M358" i="12"/>
  <c r="M359" i="12"/>
  <c r="M360" i="12"/>
  <c r="M361" i="12"/>
  <c r="M362" i="12"/>
  <c r="M363" i="12"/>
  <c r="M364" i="12"/>
  <c r="M365" i="12"/>
  <c r="M366" i="12"/>
  <c r="M367" i="12"/>
  <c r="M368" i="12"/>
  <c r="M369" i="12"/>
  <c r="M370" i="12"/>
  <c r="M371" i="12"/>
  <c r="M372" i="12"/>
  <c r="M373" i="12"/>
  <c r="M374" i="12"/>
  <c r="M375" i="12"/>
  <c r="M376" i="12"/>
  <c r="M377" i="12"/>
  <c r="M378" i="12"/>
  <c r="M379" i="12"/>
  <c r="M380" i="12"/>
  <c r="M381" i="12"/>
  <c r="M382" i="12"/>
  <c r="M383" i="12"/>
  <c r="M384" i="12"/>
  <c r="M385" i="12"/>
  <c r="M386" i="12"/>
  <c r="M387" i="12"/>
  <c r="M388" i="12"/>
  <c r="M389" i="12"/>
  <c r="M390" i="12"/>
  <c r="M391" i="12"/>
  <c r="M392" i="12"/>
  <c r="M393" i="12"/>
  <c r="M394" i="12"/>
  <c r="M395" i="12"/>
  <c r="M396" i="12"/>
  <c r="M397" i="12"/>
  <c r="M398" i="12"/>
  <c r="M399" i="12"/>
  <c r="M400" i="12"/>
  <c r="M401" i="12"/>
  <c r="M402" i="12"/>
  <c r="M403" i="12"/>
  <c r="M404" i="12"/>
  <c r="M405" i="12"/>
  <c r="M406" i="12"/>
  <c r="M407" i="12"/>
  <c r="M408" i="12"/>
  <c r="M409" i="12"/>
  <c r="M410" i="12"/>
  <c r="M411" i="12"/>
  <c r="M412" i="12"/>
  <c r="M413" i="12"/>
  <c r="M414" i="12"/>
  <c r="M415" i="12"/>
  <c r="M416" i="12"/>
  <c r="M417" i="12"/>
  <c r="M418" i="12"/>
  <c r="M419" i="12"/>
  <c r="M420" i="12"/>
  <c r="M421" i="12"/>
  <c r="M422" i="12"/>
  <c r="M423" i="12"/>
  <c r="M424" i="12"/>
  <c r="M425" i="12"/>
  <c r="M426" i="12"/>
  <c r="M427" i="12"/>
  <c r="M428" i="12"/>
  <c r="M429" i="12"/>
  <c r="M430" i="12"/>
  <c r="M431" i="12"/>
  <c r="M432" i="12"/>
  <c r="M433" i="12"/>
  <c r="M434" i="12"/>
  <c r="M435" i="12"/>
  <c r="M436" i="12"/>
  <c r="M437" i="12"/>
  <c r="M438" i="12"/>
  <c r="M439" i="12"/>
  <c r="M440" i="12"/>
  <c r="M441" i="12"/>
  <c r="M442" i="12"/>
  <c r="M443" i="12"/>
  <c r="M444" i="12"/>
  <c r="M445" i="12"/>
  <c r="M446" i="12"/>
  <c r="M447" i="12"/>
  <c r="M448" i="12"/>
  <c r="M449" i="12"/>
  <c r="M450" i="12"/>
  <c r="M451" i="12"/>
  <c r="M452" i="12"/>
  <c r="M453" i="12"/>
  <c r="M454" i="12"/>
  <c r="M455" i="12"/>
  <c r="M456" i="12"/>
  <c r="M457" i="12"/>
  <c r="M458" i="12"/>
  <c r="M459" i="12"/>
  <c r="M460" i="12"/>
  <c r="M461" i="12"/>
  <c r="M462" i="12"/>
  <c r="M463" i="12"/>
  <c r="M464" i="12"/>
  <c r="M465" i="12"/>
  <c r="M466" i="12"/>
  <c r="M467" i="12"/>
  <c r="M468" i="12"/>
  <c r="M469" i="12"/>
  <c r="M470" i="12"/>
  <c r="M471" i="12"/>
  <c r="M472" i="12"/>
  <c r="M473" i="12"/>
  <c r="M474" i="12"/>
  <c r="M475" i="12"/>
  <c r="M476" i="12"/>
  <c r="M477" i="12"/>
  <c r="M478" i="12"/>
  <c r="D541" i="1"/>
  <c r="E541" i="1"/>
  <c r="AK541" i="1"/>
  <c r="AL541" i="1"/>
  <c r="AM541" i="1"/>
  <c r="Q22" i="1"/>
  <c r="R22" i="1" s="1"/>
  <c r="P22" i="1"/>
  <c r="P14" i="1"/>
  <c r="D550" i="1"/>
  <c r="E550" i="1"/>
  <c r="J550" i="1"/>
  <c r="P550" i="1"/>
  <c r="Q550" i="1"/>
  <c r="AK550" i="1" s="1"/>
  <c r="W550" i="1"/>
  <c r="AA550" i="1"/>
  <c r="AB550" i="1"/>
  <c r="AC550" i="1"/>
  <c r="AD550" i="1"/>
  <c r="D549" i="1"/>
  <c r="E549" i="1"/>
  <c r="J549" i="1"/>
  <c r="P549" i="1"/>
  <c r="Q549" i="1"/>
  <c r="AK549" i="1" s="1"/>
  <c r="W549" i="1"/>
  <c r="AA549" i="1"/>
  <c r="AB549" i="1"/>
  <c r="AC549" i="1"/>
  <c r="AD549" i="1"/>
  <c r="D548" i="1"/>
  <c r="E548" i="1"/>
  <c r="J548" i="1"/>
  <c r="P548" i="1"/>
  <c r="Q548" i="1"/>
  <c r="AK548" i="1" s="1"/>
  <c r="W548" i="1"/>
  <c r="AA548" i="1"/>
  <c r="AB548" i="1"/>
  <c r="AC548" i="1"/>
  <c r="AD548" i="1"/>
  <c r="D547" i="1"/>
  <c r="E547" i="1"/>
  <c r="J547" i="1"/>
  <c r="P547" i="1"/>
  <c r="Q547" i="1"/>
  <c r="AK547" i="1" s="1"/>
  <c r="W547" i="1"/>
  <c r="AA547" i="1"/>
  <c r="AB547" i="1"/>
  <c r="AC547" i="1"/>
  <c r="AD547" i="1"/>
  <c r="D546" i="1"/>
  <c r="E546" i="1"/>
  <c r="J546" i="1"/>
  <c r="P546" i="1"/>
  <c r="Q546" i="1"/>
  <c r="AK546" i="1" s="1"/>
  <c r="W546" i="1"/>
  <c r="AA546" i="1"/>
  <c r="AB546" i="1"/>
  <c r="AC546" i="1"/>
  <c r="AD546" i="1"/>
  <c r="D545" i="1"/>
  <c r="E545" i="1"/>
  <c r="J545" i="1"/>
  <c r="P545" i="1"/>
  <c r="Q545" i="1"/>
  <c r="AK545" i="1" s="1"/>
  <c r="W545" i="1"/>
  <c r="AA545" i="1"/>
  <c r="AB545" i="1"/>
  <c r="AC545" i="1"/>
  <c r="AD545" i="1"/>
  <c r="D544" i="1"/>
  <c r="E544" i="1"/>
  <c r="J544" i="1"/>
  <c r="P544" i="1"/>
  <c r="Q544" i="1"/>
  <c r="AK544" i="1" s="1"/>
  <c r="W544" i="1"/>
  <c r="AA544" i="1"/>
  <c r="AB544" i="1"/>
  <c r="AC544" i="1"/>
  <c r="AD544" i="1"/>
  <c r="D543" i="1"/>
  <c r="E543" i="1"/>
  <c r="J543" i="1"/>
  <c r="P543" i="1"/>
  <c r="Q543" i="1"/>
  <c r="AK543" i="1" s="1"/>
  <c r="W543" i="1"/>
  <c r="AA543" i="1"/>
  <c r="AB543" i="1"/>
  <c r="AC543" i="1"/>
  <c r="AD543" i="1"/>
  <c r="D542" i="1"/>
  <c r="E542" i="1"/>
  <c r="J542" i="1"/>
  <c r="P542" i="1"/>
  <c r="Q542" i="1"/>
  <c r="AK542" i="1" s="1"/>
  <c r="W542" i="1"/>
  <c r="AA542" i="1"/>
  <c r="AB542" i="1"/>
  <c r="AC542" i="1"/>
  <c r="AD542" i="1"/>
  <c r="D540" i="1"/>
  <c r="E540" i="1"/>
  <c r="AK540" i="1"/>
  <c r="AA22" i="1"/>
  <c r="AB22" i="1"/>
  <c r="AC22" i="1"/>
  <c r="AD22" i="1"/>
  <c r="AD5" i="1"/>
  <c r="AD6" i="1"/>
  <c r="AD7" i="1"/>
  <c r="AD8" i="1"/>
  <c r="AD9" i="1"/>
  <c r="AD14" i="1"/>
  <c r="AD15" i="1"/>
  <c r="AD16" i="1"/>
  <c r="AD17" i="1"/>
  <c r="AD20" i="1"/>
  <c r="AD21"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I5" i="1"/>
  <c r="AI6" i="1"/>
  <c r="AI7" i="1"/>
  <c r="AI8" i="1"/>
  <c r="AI10" i="1"/>
  <c r="AI14" i="1"/>
  <c r="AI15" i="1"/>
  <c r="AI16" i="1"/>
  <c r="AI17" i="1"/>
  <c r="AI20" i="1"/>
  <c r="AI21" i="1"/>
  <c r="AA6" i="1"/>
  <c r="AA7" i="1"/>
  <c r="AA8" i="1"/>
  <c r="AA9" i="1"/>
  <c r="AA14" i="1"/>
  <c r="AA15" i="1"/>
  <c r="AA20" i="1"/>
  <c r="AA21" i="1"/>
  <c r="AA23" i="1"/>
  <c r="AA24" i="1"/>
  <c r="AA25" i="1"/>
  <c r="AA26" i="1"/>
  <c r="AA28"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C5" i="1"/>
  <c r="AC6" i="1"/>
  <c r="AC7" i="1"/>
  <c r="AC8" i="1"/>
  <c r="AC9" i="1"/>
  <c r="AC14" i="1"/>
  <c r="AC15" i="1"/>
  <c r="AC16" i="1"/>
  <c r="AC17" i="1"/>
  <c r="AC20" i="1"/>
  <c r="AC21"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A5" i="1"/>
  <c r="AB5" i="1"/>
  <c r="AB6" i="1"/>
  <c r="AB7" i="1"/>
  <c r="AB8" i="1"/>
  <c r="AB9" i="1"/>
  <c r="AB14" i="1"/>
  <c r="AB15" i="1"/>
  <c r="AB16" i="1"/>
  <c r="AB17" i="1"/>
  <c r="AB20" i="1"/>
  <c r="AB21"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J6"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E2" i="3"/>
  <c r="E3" i="3"/>
  <c r="E4" i="3"/>
  <c r="E5" i="3"/>
  <c r="E6" i="3"/>
  <c r="E7" i="3"/>
  <c r="E8" i="3"/>
  <c r="J20" i="1" s="1"/>
  <c r="E9" i="3"/>
  <c r="E10" i="3"/>
  <c r="E11" i="3"/>
  <c r="E12" i="3"/>
  <c r="E13" i="3"/>
  <c r="E14" i="3"/>
  <c r="E15" i="3"/>
  <c r="E16" i="3"/>
  <c r="E17" i="3"/>
  <c r="E18" i="3"/>
  <c r="E19" i="3"/>
  <c r="E20" i="3"/>
  <c r="E21" i="3"/>
  <c r="E22" i="3"/>
  <c r="E23" i="3"/>
  <c r="E24" i="3"/>
  <c r="E25" i="3"/>
  <c r="E26" i="3"/>
  <c r="E27" i="3"/>
  <c r="E28" i="3"/>
  <c r="E29" i="3"/>
  <c r="E30" i="3"/>
  <c r="E31" i="3"/>
  <c r="E32" i="3"/>
  <c r="J24" i="1" s="1"/>
  <c r="E33" i="3"/>
  <c r="E34" i="3"/>
  <c r="E35" i="3"/>
  <c r="J26" i="1" s="1"/>
  <c r="E36" i="3"/>
  <c r="E37" i="3"/>
  <c r="E38" i="3"/>
  <c r="E39" i="3"/>
  <c r="E40" i="3"/>
  <c r="E41" i="3"/>
  <c r="E42" i="3"/>
  <c r="E43" i="3"/>
  <c r="E44" i="3"/>
  <c r="E45" i="3"/>
  <c r="E46" i="3"/>
  <c r="E47" i="3"/>
  <c r="E48" i="3"/>
  <c r="J15" i="1" s="1"/>
  <c r="E49" i="3"/>
  <c r="E50" i="3"/>
  <c r="E51" i="3"/>
  <c r="E52" i="3"/>
  <c r="E53" i="3"/>
  <c r="E54" i="3"/>
  <c r="J9" i="1" s="1"/>
  <c r="E55" i="3"/>
  <c r="E56" i="3"/>
  <c r="J14" i="1" s="1"/>
  <c r="E57" i="3"/>
  <c r="E58" i="3"/>
  <c r="E59" i="3"/>
  <c r="E60" i="3"/>
  <c r="J5" i="1" s="1"/>
  <c r="E61" i="3"/>
  <c r="E62" i="3"/>
  <c r="E63" i="3"/>
  <c r="E64" i="3"/>
  <c r="E65" i="3"/>
  <c r="E66" i="3"/>
  <c r="E67" i="3"/>
  <c r="E68" i="3"/>
  <c r="E69" i="3"/>
  <c r="E70" i="3"/>
  <c r="E71" i="3"/>
  <c r="E72" i="3"/>
  <c r="E73" i="3"/>
  <c r="E74" i="3"/>
  <c r="E75" i="3"/>
  <c r="E76" i="3"/>
  <c r="E77" i="3"/>
  <c r="E78" i="3"/>
  <c r="J31" i="1" s="1"/>
  <c r="E79" i="3"/>
  <c r="E80" i="3"/>
  <c r="E81" i="3"/>
  <c r="E82" i="3"/>
  <c r="E83" i="3"/>
  <c r="E84" i="3"/>
  <c r="E85" i="3"/>
  <c r="E86" i="3"/>
  <c r="E87" i="3"/>
  <c r="E88" i="3"/>
  <c r="E89" i="3"/>
  <c r="E90" i="3"/>
  <c r="E91" i="3"/>
  <c r="E92" i="3"/>
  <c r="E93" i="3"/>
  <c r="E94" i="3"/>
  <c r="E95" i="3"/>
  <c r="E96" i="3"/>
  <c r="E97" i="3"/>
  <c r="E98" i="3"/>
  <c r="E99" i="3"/>
  <c r="E100" i="3"/>
  <c r="E101" i="3"/>
  <c r="E102" i="3"/>
  <c r="E103" i="3"/>
  <c r="J7" i="1" s="1"/>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J29" i="1" s="1"/>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J8" i="1" s="1"/>
  <c r="E202" i="3"/>
  <c r="E203" i="3"/>
  <c r="E204" i="3"/>
  <c r="E205" i="3"/>
  <c r="K30" i="1" s="1"/>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G2" i="3"/>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 i="1"/>
  <c r="D527" i="1"/>
  <c r="D528" i="1"/>
  <c r="D529" i="1"/>
  <c r="D530" i="1"/>
  <c r="D531" i="1"/>
  <c r="D532" i="1"/>
  <c r="D533" i="1"/>
  <c r="D534" i="1"/>
  <c r="D535" i="1"/>
  <c r="D536" i="1"/>
  <c r="D537" i="1"/>
  <c r="D538" i="1"/>
  <c r="D539" i="1"/>
  <c r="P522" i="1"/>
  <c r="P523" i="1"/>
  <c r="P524" i="1"/>
  <c r="P525" i="1"/>
  <c r="P526" i="1"/>
  <c r="P527" i="1"/>
  <c r="P528" i="1"/>
  <c r="P529" i="1"/>
  <c r="P530" i="1"/>
  <c r="P531" i="1"/>
  <c r="P532" i="1"/>
  <c r="P533" i="1"/>
  <c r="P534" i="1"/>
  <c r="P535" i="1"/>
  <c r="P536" i="1"/>
  <c r="P537" i="1"/>
  <c r="P538" i="1"/>
  <c r="P539" i="1"/>
  <c r="Q522" i="1"/>
  <c r="AM522" i="1" s="1"/>
  <c r="Q523" i="1"/>
  <c r="AL523" i="1" s="1"/>
  <c r="Q524" i="1"/>
  <c r="AK524" i="1" s="1"/>
  <c r="Q525" i="1"/>
  <c r="AL525" i="1" s="1"/>
  <c r="Q526" i="1"/>
  <c r="AM526" i="1" s="1"/>
  <c r="Q527" i="1"/>
  <c r="Q528" i="1"/>
  <c r="AK528" i="1" s="1"/>
  <c r="Q529" i="1"/>
  <c r="AM529" i="1" s="1"/>
  <c r="Q530" i="1"/>
  <c r="AM530" i="1" s="1"/>
  <c r="Q531" i="1"/>
  <c r="AM531" i="1" s="1"/>
  <c r="Q532" i="1"/>
  <c r="AM532" i="1" s="1"/>
  <c r="Q533" i="1"/>
  <c r="AM533" i="1" s="1"/>
  <c r="Q534" i="1"/>
  <c r="AM534" i="1" s="1"/>
  <c r="Q535" i="1"/>
  <c r="AM535" i="1" s="1"/>
  <c r="Q536" i="1"/>
  <c r="AK536" i="1" s="1"/>
  <c r="Q537" i="1"/>
  <c r="AL537" i="1" s="1"/>
  <c r="Q538" i="1"/>
  <c r="AM538" i="1" s="1"/>
  <c r="Q539" i="1"/>
  <c r="W522" i="1"/>
  <c r="W523" i="1"/>
  <c r="W524" i="1"/>
  <c r="W525" i="1"/>
  <c r="W526" i="1"/>
  <c r="W527" i="1"/>
  <c r="W528" i="1"/>
  <c r="W529" i="1"/>
  <c r="W530" i="1"/>
  <c r="W531" i="1"/>
  <c r="W532" i="1"/>
  <c r="W533" i="1"/>
  <c r="W534" i="1"/>
  <c r="W535" i="1"/>
  <c r="W536" i="1"/>
  <c r="W537" i="1"/>
  <c r="W538" i="1"/>
  <c r="W539" i="1"/>
  <c r="P521" i="1"/>
  <c r="Q521" i="1"/>
  <c r="AL521" i="1" s="1"/>
  <c r="W521" i="1"/>
  <c r="Q20" i="1"/>
  <c r="AM20" i="1" s="1"/>
  <c r="Q5" i="1"/>
  <c r="Q6" i="1"/>
  <c r="AM6" i="1" s="1"/>
  <c r="Q7" i="1"/>
  <c r="AM7" i="1" s="1"/>
  <c r="Q8" i="1"/>
  <c r="AM8" i="1" s="1"/>
  <c r="Q9" i="1"/>
  <c r="AM10" i="1" s="1"/>
  <c r="Q14" i="1"/>
  <c r="AM14" i="1" s="1"/>
  <c r="Q15" i="1"/>
  <c r="AM15" i="1" s="1"/>
  <c r="Q16" i="1"/>
  <c r="AM16" i="1" s="1"/>
  <c r="Q17" i="1"/>
  <c r="AM17" i="1" s="1"/>
  <c r="Q21" i="1"/>
  <c r="AM21" i="1" s="1"/>
  <c r="Q23" i="1"/>
  <c r="AM23" i="1" s="1"/>
  <c r="Q24" i="1"/>
  <c r="AM24" i="1" s="1"/>
  <c r="Q25" i="1"/>
  <c r="AM25" i="1" s="1"/>
  <c r="Q26" i="1"/>
  <c r="AM26" i="1" s="1"/>
  <c r="Q27" i="1"/>
  <c r="AM27" i="1" s="1"/>
  <c r="Q28" i="1"/>
  <c r="AM28" i="1" s="1"/>
  <c r="Q29" i="1"/>
  <c r="AM29" i="1" s="1"/>
  <c r="Q30" i="1"/>
  <c r="AM30" i="1" s="1"/>
  <c r="Q31" i="1"/>
  <c r="AM31" i="1" s="1"/>
  <c r="Q32" i="1"/>
  <c r="AM32" i="1" s="1"/>
  <c r="Q33" i="1"/>
  <c r="AM33" i="1" s="1"/>
  <c r="Q34" i="1"/>
  <c r="AM34" i="1" s="1"/>
  <c r="Q35" i="1"/>
  <c r="AM35" i="1" s="1"/>
  <c r="Q36" i="1"/>
  <c r="AL36" i="1" s="1"/>
  <c r="Q37" i="1"/>
  <c r="AM37" i="1" s="1"/>
  <c r="Q38" i="1"/>
  <c r="AM38" i="1" s="1"/>
  <c r="Q39" i="1"/>
  <c r="AM39" i="1" s="1"/>
  <c r="Q40" i="1"/>
  <c r="AM40" i="1" s="1"/>
  <c r="Q41" i="1"/>
  <c r="Q42" i="1"/>
  <c r="AM42" i="1" s="1"/>
  <c r="Q43" i="1"/>
  <c r="AM43" i="1" s="1"/>
  <c r="Q44" i="1"/>
  <c r="AM44" i="1" s="1"/>
  <c r="Q45" i="1"/>
  <c r="AM45" i="1" s="1"/>
  <c r="Q46" i="1"/>
  <c r="AM46" i="1" s="1"/>
  <c r="Q47" i="1"/>
  <c r="AM47" i="1" s="1"/>
  <c r="Q48" i="1"/>
  <c r="AM48" i="1" s="1"/>
  <c r="Q49" i="1"/>
  <c r="AM49" i="1" s="1"/>
  <c r="Q50" i="1"/>
  <c r="AM50" i="1" s="1"/>
  <c r="Q51" i="1"/>
  <c r="AM51" i="1" s="1"/>
  <c r="Q52" i="1"/>
  <c r="AM52" i="1" s="1"/>
  <c r="Q53" i="1"/>
  <c r="AM53" i="1" s="1"/>
  <c r="Q54" i="1"/>
  <c r="AM54" i="1" s="1"/>
  <c r="Q55" i="1"/>
  <c r="AM55" i="1" s="1"/>
  <c r="Q56" i="1"/>
  <c r="AM56" i="1" s="1"/>
  <c r="Q57" i="1"/>
  <c r="AM57" i="1" s="1"/>
  <c r="Q58" i="1"/>
  <c r="AM58" i="1" s="1"/>
  <c r="Q59" i="1"/>
  <c r="AM59" i="1" s="1"/>
  <c r="Q60" i="1"/>
  <c r="AM60" i="1" s="1"/>
  <c r="Q61" i="1"/>
  <c r="AM61" i="1" s="1"/>
  <c r="Q62" i="1"/>
  <c r="AM62" i="1" s="1"/>
  <c r="Q63" i="1"/>
  <c r="AM63" i="1" s="1"/>
  <c r="Q64" i="1"/>
  <c r="AM64" i="1" s="1"/>
  <c r="Q65" i="1"/>
  <c r="AM65" i="1" s="1"/>
  <c r="Q66" i="1"/>
  <c r="AM66" i="1" s="1"/>
  <c r="Q67" i="1"/>
  <c r="AM67" i="1" s="1"/>
  <c r="Q68" i="1"/>
  <c r="AM68" i="1" s="1"/>
  <c r="Q69" i="1"/>
  <c r="AM69" i="1" s="1"/>
  <c r="Q70" i="1"/>
  <c r="AM70" i="1" s="1"/>
  <c r="Q71" i="1"/>
  <c r="AM71" i="1" s="1"/>
  <c r="Q72" i="1"/>
  <c r="AM72" i="1" s="1"/>
  <c r="Q73" i="1"/>
  <c r="AM73" i="1" s="1"/>
  <c r="Q74" i="1"/>
  <c r="AM74" i="1" s="1"/>
  <c r="Q75" i="1"/>
  <c r="AM75" i="1" s="1"/>
  <c r="Q76" i="1"/>
  <c r="AM76" i="1" s="1"/>
  <c r="Q77" i="1"/>
  <c r="AM77" i="1" s="1"/>
  <c r="Q78" i="1"/>
  <c r="AM78" i="1" s="1"/>
  <c r="Q79" i="1"/>
  <c r="AM79" i="1" s="1"/>
  <c r="Q80" i="1"/>
  <c r="AM80" i="1" s="1"/>
  <c r="Q81" i="1"/>
  <c r="AM81" i="1" s="1"/>
  <c r="Q82" i="1"/>
  <c r="AM82" i="1" s="1"/>
  <c r="Q83" i="1"/>
  <c r="Q84" i="1"/>
  <c r="AL84" i="1" s="1"/>
  <c r="Q85" i="1"/>
  <c r="AM85" i="1" s="1"/>
  <c r="Q86" i="1"/>
  <c r="AM86" i="1" s="1"/>
  <c r="Q87" i="1"/>
  <c r="AM87" i="1" s="1"/>
  <c r="Q88" i="1"/>
  <c r="AM88" i="1" s="1"/>
  <c r="Q89" i="1"/>
  <c r="AM89" i="1" s="1"/>
  <c r="Q90" i="1"/>
  <c r="AM90" i="1" s="1"/>
  <c r="Q91" i="1"/>
  <c r="AM91" i="1" s="1"/>
  <c r="Q92" i="1"/>
  <c r="AM92" i="1" s="1"/>
  <c r="Q93" i="1"/>
  <c r="AK93" i="1" s="1"/>
  <c r="Q94" i="1"/>
  <c r="AM94" i="1" s="1"/>
  <c r="Q95" i="1"/>
  <c r="AM95" i="1" s="1"/>
  <c r="Q96" i="1"/>
  <c r="AM96" i="1" s="1"/>
  <c r="Q97" i="1"/>
  <c r="AM97" i="1" s="1"/>
  <c r="Q98" i="1"/>
  <c r="AM98" i="1" s="1"/>
  <c r="Q99" i="1"/>
  <c r="AM99" i="1" s="1"/>
  <c r="Q100" i="1"/>
  <c r="AM100" i="1" s="1"/>
  <c r="Q101" i="1"/>
  <c r="AM101" i="1" s="1"/>
  <c r="Q102" i="1"/>
  <c r="AM102" i="1" s="1"/>
  <c r="Q103" i="1"/>
  <c r="AM103" i="1" s="1"/>
  <c r="Q104" i="1"/>
  <c r="AM104" i="1" s="1"/>
  <c r="Q105" i="1"/>
  <c r="AM105" i="1" s="1"/>
  <c r="Q106" i="1"/>
  <c r="AM106" i="1" s="1"/>
  <c r="Q107" i="1"/>
  <c r="AM107" i="1" s="1"/>
  <c r="Q108" i="1"/>
  <c r="AM108" i="1" s="1"/>
  <c r="Q109" i="1"/>
  <c r="AM109" i="1" s="1"/>
  <c r="Q110" i="1"/>
  <c r="AM110" i="1" s="1"/>
  <c r="Q111" i="1"/>
  <c r="AM111" i="1" s="1"/>
  <c r="Q112" i="1"/>
  <c r="AM112" i="1" s="1"/>
  <c r="Q113" i="1"/>
  <c r="AM113" i="1" s="1"/>
  <c r="Q114" i="1"/>
  <c r="AM114" i="1" s="1"/>
  <c r="Q115" i="1"/>
  <c r="AM115" i="1" s="1"/>
  <c r="Q116" i="1"/>
  <c r="AM116" i="1" s="1"/>
  <c r="Q117" i="1"/>
  <c r="AM117" i="1" s="1"/>
  <c r="Q118" i="1"/>
  <c r="AM118" i="1" s="1"/>
  <c r="Q119" i="1"/>
  <c r="AM119" i="1" s="1"/>
  <c r="Q120" i="1"/>
  <c r="AM120" i="1" s="1"/>
  <c r="Q121" i="1"/>
  <c r="AM121" i="1" s="1"/>
  <c r="Q122" i="1"/>
  <c r="AM122" i="1" s="1"/>
  <c r="Q123" i="1"/>
  <c r="AM123" i="1" s="1"/>
  <c r="Q124" i="1"/>
  <c r="AM124" i="1" s="1"/>
  <c r="Q125" i="1"/>
  <c r="AM125" i="1" s="1"/>
  <c r="Q126" i="1"/>
  <c r="AM126" i="1" s="1"/>
  <c r="Q127" i="1"/>
  <c r="AM127" i="1" s="1"/>
  <c r="Q128" i="1"/>
  <c r="AM128" i="1" s="1"/>
  <c r="Q129" i="1"/>
  <c r="AK129" i="1" s="1"/>
  <c r="Q130" i="1"/>
  <c r="AM130" i="1" s="1"/>
  <c r="Q131" i="1"/>
  <c r="Q132" i="1"/>
  <c r="AL132" i="1" s="1"/>
  <c r="Q133" i="1"/>
  <c r="AM133" i="1" s="1"/>
  <c r="Q134" i="1"/>
  <c r="AM134" i="1" s="1"/>
  <c r="Q135" i="1"/>
  <c r="AM135" i="1" s="1"/>
  <c r="Q136" i="1"/>
  <c r="AM136" i="1" s="1"/>
  <c r="Q137" i="1"/>
  <c r="AM137" i="1" s="1"/>
  <c r="Q138" i="1"/>
  <c r="AM138" i="1" s="1"/>
  <c r="Q139" i="1"/>
  <c r="AM139" i="1" s="1"/>
  <c r="Q140" i="1"/>
  <c r="AM140" i="1" s="1"/>
  <c r="Q141" i="1"/>
  <c r="AM141" i="1" s="1"/>
  <c r="Q142" i="1"/>
  <c r="AM142" i="1" s="1"/>
  <c r="Q143" i="1"/>
  <c r="AM143" i="1" s="1"/>
  <c r="Q144" i="1"/>
  <c r="AM144" i="1" s="1"/>
  <c r="Q145" i="1"/>
  <c r="AM145" i="1" s="1"/>
  <c r="Q146" i="1"/>
  <c r="AM146" i="1" s="1"/>
  <c r="Q147" i="1"/>
  <c r="AM147" i="1" s="1"/>
  <c r="Q148" i="1"/>
  <c r="AM148" i="1" s="1"/>
  <c r="Q149" i="1"/>
  <c r="AM149" i="1" s="1"/>
  <c r="Q150" i="1"/>
  <c r="AM150" i="1" s="1"/>
  <c r="Q151" i="1"/>
  <c r="AM151" i="1" s="1"/>
  <c r="Q152" i="1"/>
  <c r="AM152" i="1" s="1"/>
  <c r="Q153" i="1"/>
  <c r="AM153" i="1" s="1"/>
  <c r="Q154" i="1"/>
  <c r="AM154" i="1" s="1"/>
  <c r="Q155" i="1"/>
  <c r="AM155" i="1" s="1"/>
  <c r="Q156" i="1"/>
  <c r="AM156" i="1" s="1"/>
  <c r="Q157" i="1"/>
  <c r="AM157" i="1" s="1"/>
  <c r="Q158" i="1"/>
  <c r="AM158" i="1" s="1"/>
  <c r="Q159" i="1"/>
  <c r="AM159" i="1" s="1"/>
  <c r="Q160" i="1"/>
  <c r="AM160" i="1" s="1"/>
  <c r="Q161" i="1"/>
  <c r="AM161" i="1" s="1"/>
  <c r="Q162" i="1"/>
  <c r="AM162" i="1" s="1"/>
  <c r="Q163" i="1"/>
  <c r="AM163" i="1" s="1"/>
  <c r="Q164" i="1"/>
  <c r="AM164" i="1" s="1"/>
  <c r="Q165" i="1"/>
  <c r="AK165" i="1" s="1"/>
  <c r="Q166" i="1"/>
  <c r="AM166" i="1" s="1"/>
  <c r="Q167" i="1"/>
  <c r="AM167" i="1" s="1"/>
  <c r="Q168" i="1"/>
  <c r="AM168" i="1" s="1"/>
  <c r="Q169" i="1"/>
  <c r="AM169" i="1" s="1"/>
  <c r="Q170" i="1"/>
  <c r="AM170" i="1" s="1"/>
  <c r="Q171" i="1"/>
  <c r="AM171" i="1" s="1"/>
  <c r="Q172" i="1"/>
  <c r="AM172" i="1" s="1"/>
  <c r="Q173" i="1"/>
  <c r="AM173" i="1" s="1"/>
  <c r="Q174" i="1"/>
  <c r="AM174" i="1" s="1"/>
  <c r="Q175" i="1"/>
  <c r="AM175" i="1" s="1"/>
  <c r="Q176" i="1"/>
  <c r="AM176" i="1" s="1"/>
  <c r="Q177" i="1"/>
  <c r="AM177" i="1" s="1"/>
  <c r="Q178" i="1"/>
  <c r="AM178" i="1" s="1"/>
  <c r="Q179" i="1"/>
  <c r="Q180" i="1"/>
  <c r="AL180" i="1" s="1"/>
  <c r="Q181" i="1"/>
  <c r="AM181" i="1" s="1"/>
  <c r="Q182" i="1"/>
  <c r="AM182" i="1" s="1"/>
  <c r="Q183" i="1"/>
  <c r="AM183" i="1" s="1"/>
  <c r="Q184" i="1"/>
  <c r="AM184" i="1" s="1"/>
  <c r="Q185" i="1"/>
  <c r="AM185" i="1" s="1"/>
  <c r="Q186" i="1"/>
  <c r="AM186" i="1" s="1"/>
  <c r="Q187" i="1"/>
  <c r="AL187" i="1" s="1"/>
  <c r="Q188" i="1"/>
  <c r="AL188" i="1" s="1"/>
  <c r="Q189" i="1"/>
  <c r="AM189" i="1" s="1"/>
  <c r="Q190" i="1"/>
  <c r="AM190" i="1" s="1"/>
  <c r="Q191" i="1"/>
  <c r="AM191" i="1" s="1"/>
  <c r="Q192" i="1"/>
  <c r="AM192" i="1" s="1"/>
  <c r="Q193" i="1"/>
  <c r="AM193" i="1" s="1"/>
  <c r="Q194" i="1"/>
  <c r="AM194" i="1" s="1"/>
  <c r="Q195" i="1"/>
  <c r="AM195" i="1" s="1"/>
  <c r="Q196" i="1"/>
  <c r="AM196" i="1" s="1"/>
  <c r="Q197" i="1"/>
  <c r="AM197" i="1" s="1"/>
  <c r="Q198" i="1"/>
  <c r="AM198" i="1" s="1"/>
  <c r="Q199" i="1"/>
  <c r="AL199" i="1" s="1"/>
  <c r="Q200" i="1"/>
  <c r="AL200" i="1" s="1"/>
  <c r="Q201" i="1"/>
  <c r="AK201" i="1" s="1"/>
  <c r="Q202" i="1"/>
  <c r="AM202" i="1" s="1"/>
  <c r="Q203" i="1"/>
  <c r="AM203" i="1" s="1"/>
  <c r="Q204" i="1"/>
  <c r="AM204" i="1" s="1"/>
  <c r="Q205" i="1"/>
  <c r="AM205" i="1" s="1"/>
  <c r="Q206" i="1"/>
  <c r="AM206" i="1" s="1"/>
  <c r="Q207" i="1"/>
  <c r="AM207" i="1" s="1"/>
  <c r="Q208" i="1"/>
  <c r="AM208" i="1" s="1"/>
  <c r="Q209" i="1"/>
  <c r="AM209" i="1" s="1"/>
  <c r="Q210" i="1"/>
  <c r="AM210" i="1" s="1"/>
  <c r="Q211" i="1"/>
  <c r="AL211" i="1" s="1"/>
  <c r="Q212" i="1"/>
  <c r="AL212" i="1" s="1"/>
  <c r="Q213" i="1"/>
  <c r="AM213" i="1" s="1"/>
  <c r="Q214" i="1"/>
  <c r="AM214" i="1" s="1"/>
  <c r="Q215" i="1"/>
  <c r="AM215" i="1" s="1"/>
  <c r="Q216" i="1"/>
  <c r="AM216" i="1" s="1"/>
  <c r="Q217" i="1"/>
  <c r="AM217" i="1" s="1"/>
  <c r="Q218" i="1"/>
  <c r="AM218" i="1" s="1"/>
  <c r="Q219" i="1"/>
  <c r="AM219" i="1" s="1"/>
  <c r="Q220" i="1"/>
  <c r="AM220" i="1" s="1"/>
  <c r="Q221" i="1"/>
  <c r="AM221" i="1" s="1"/>
  <c r="Q222" i="1"/>
  <c r="AM222" i="1" s="1"/>
  <c r="Q223" i="1"/>
  <c r="AL223" i="1" s="1"/>
  <c r="Q224" i="1"/>
  <c r="AL224" i="1" s="1"/>
  <c r="Q225" i="1"/>
  <c r="AM225" i="1" s="1"/>
  <c r="Q226" i="1"/>
  <c r="AM226" i="1" s="1"/>
  <c r="Q227" i="1"/>
  <c r="Q228" i="1"/>
  <c r="AL228" i="1" s="1"/>
  <c r="Q229" i="1"/>
  <c r="AM229" i="1" s="1"/>
  <c r="Q230" i="1"/>
  <c r="AM230" i="1" s="1"/>
  <c r="Q231" i="1"/>
  <c r="AM231" i="1" s="1"/>
  <c r="Q232" i="1"/>
  <c r="AM232" i="1" s="1"/>
  <c r="Q233" i="1"/>
  <c r="AM233" i="1" s="1"/>
  <c r="Q234" i="1"/>
  <c r="AM234" i="1" s="1"/>
  <c r="Q235" i="1"/>
  <c r="AL235" i="1" s="1"/>
  <c r="Q236" i="1"/>
  <c r="AL236" i="1" s="1"/>
  <c r="Q237" i="1"/>
  <c r="AK237" i="1" s="1"/>
  <c r="Q238" i="1"/>
  <c r="AM238" i="1" s="1"/>
  <c r="Q239" i="1"/>
  <c r="AM239" i="1" s="1"/>
  <c r="Q240" i="1"/>
  <c r="AM240" i="1" s="1"/>
  <c r="Q241" i="1"/>
  <c r="AM241" i="1" s="1"/>
  <c r="Q242" i="1"/>
  <c r="AM242" i="1" s="1"/>
  <c r="Q243" i="1"/>
  <c r="AM243" i="1" s="1"/>
  <c r="Q244" i="1"/>
  <c r="AM244" i="1" s="1"/>
  <c r="Q245" i="1"/>
  <c r="AM245" i="1" s="1"/>
  <c r="Q246" i="1"/>
  <c r="AM246" i="1" s="1"/>
  <c r="Q247" i="1"/>
  <c r="AL247" i="1" s="1"/>
  <c r="Q248" i="1"/>
  <c r="AL248" i="1" s="1"/>
  <c r="Q249" i="1"/>
  <c r="AM249" i="1" s="1"/>
  <c r="Q250" i="1"/>
  <c r="AM250" i="1" s="1"/>
  <c r="Q251" i="1"/>
  <c r="AM251" i="1" s="1"/>
  <c r="Q252" i="1"/>
  <c r="AM252" i="1" s="1"/>
  <c r="Q253" i="1"/>
  <c r="AM253" i="1" s="1"/>
  <c r="Q254" i="1"/>
  <c r="AM254" i="1" s="1"/>
  <c r="Q255" i="1"/>
  <c r="AM255" i="1" s="1"/>
  <c r="Q256" i="1"/>
  <c r="AM256" i="1" s="1"/>
  <c r="Q257" i="1"/>
  <c r="AM257" i="1" s="1"/>
  <c r="Q258" i="1"/>
  <c r="AM258" i="1" s="1"/>
  <c r="Q259" i="1"/>
  <c r="AL259" i="1" s="1"/>
  <c r="Q260" i="1"/>
  <c r="AL260" i="1" s="1"/>
  <c r="Q261" i="1"/>
  <c r="AM261" i="1" s="1"/>
  <c r="Q262" i="1"/>
  <c r="AM262" i="1" s="1"/>
  <c r="Q263" i="1"/>
  <c r="Q264" i="1"/>
  <c r="AL264" i="1" s="1"/>
  <c r="Q265" i="1"/>
  <c r="AM265" i="1" s="1"/>
  <c r="Q266" i="1"/>
  <c r="AM266" i="1" s="1"/>
  <c r="Q267" i="1"/>
  <c r="AM267" i="1" s="1"/>
  <c r="Q268" i="1"/>
  <c r="AM268" i="1" s="1"/>
  <c r="Q269" i="1"/>
  <c r="AM269" i="1" s="1"/>
  <c r="Q270" i="1"/>
  <c r="AM270" i="1" s="1"/>
  <c r="Q271" i="1"/>
  <c r="AL271" i="1" s="1"/>
  <c r="Q272" i="1"/>
  <c r="AL272" i="1" s="1"/>
  <c r="Q273" i="1"/>
  <c r="AK273" i="1" s="1"/>
  <c r="Q274" i="1"/>
  <c r="AM274" i="1" s="1"/>
  <c r="Q275" i="1"/>
  <c r="AM275" i="1" s="1"/>
  <c r="Q276" i="1"/>
  <c r="AM276" i="1" s="1"/>
  <c r="Q277" i="1"/>
  <c r="AM277" i="1" s="1"/>
  <c r="Q278" i="1"/>
  <c r="AM278" i="1" s="1"/>
  <c r="Q279" i="1"/>
  <c r="AM279" i="1" s="1"/>
  <c r="Q280" i="1"/>
  <c r="AM280" i="1" s="1"/>
  <c r="Q281" i="1"/>
  <c r="AM281" i="1" s="1"/>
  <c r="Q282" i="1"/>
  <c r="AM282" i="1" s="1"/>
  <c r="Q283" i="1"/>
  <c r="AL283" i="1" s="1"/>
  <c r="Q284" i="1"/>
  <c r="AL284" i="1" s="1"/>
  <c r="Q285" i="1"/>
  <c r="AM285" i="1" s="1"/>
  <c r="Q286" i="1"/>
  <c r="AM286" i="1" s="1"/>
  <c r="Q287" i="1"/>
  <c r="AM287" i="1" s="1"/>
  <c r="Q288" i="1"/>
  <c r="AM288" i="1" s="1"/>
  <c r="Q289" i="1"/>
  <c r="AM289" i="1" s="1"/>
  <c r="Q290" i="1"/>
  <c r="AM290" i="1" s="1"/>
  <c r="Q291" i="1"/>
  <c r="AM291" i="1" s="1"/>
  <c r="Q292" i="1"/>
  <c r="AM292" i="1" s="1"/>
  <c r="Q293" i="1"/>
  <c r="AM293" i="1" s="1"/>
  <c r="Q294" i="1"/>
  <c r="AM294" i="1" s="1"/>
  <c r="Q295" i="1"/>
  <c r="AL295" i="1" s="1"/>
  <c r="Q296" i="1"/>
  <c r="AL296" i="1" s="1"/>
  <c r="Q297" i="1"/>
  <c r="AM297" i="1" s="1"/>
  <c r="Q298" i="1"/>
  <c r="AM298" i="1" s="1"/>
  <c r="Q299" i="1"/>
  <c r="Q300" i="1"/>
  <c r="AL300" i="1" s="1"/>
  <c r="Q301" i="1"/>
  <c r="AM301" i="1" s="1"/>
  <c r="Q302" i="1"/>
  <c r="AM302" i="1" s="1"/>
  <c r="Q303" i="1"/>
  <c r="AM303" i="1" s="1"/>
  <c r="Q304" i="1"/>
  <c r="AM304" i="1" s="1"/>
  <c r="Q305" i="1"/>
  <c r="AM305" i="1" s="1"/>
  <c r="Q306" i="1"/>
  <c r="AM306" i="1" s="1"/>
  <c r="Q307" i="1"/>
  <c r="AL307" i="1" s="1"/>
  <c r="Q308" i="1"/>
  <c r="AL308" i="1" s="1"/>
  <c r="Q309" i="1"/>
  <c r="AM309" i="1" s="1"/>
  <c r="Q310" i="1"/>
  <c r="AM310" i="1" s="1"/>
  <c r="Q311" i="1"/>
  <c r="AM311" i="1" s="1"/>
  <c r="Q312" i="1"/>
  <c r="AM312" i="1" s="1"/>
  <c r="Q313" i="1"/>
  <c r="AM313" i="1" s="1"/>
  <c r="Q314" i="1"/>
  <c r="AM314" i="1" s="1"/>
  <c r="Q315" i="1"/>
  <c r="AM315" i="1" s="1"/>
  <c r="Q316" i="1"/>
  <c r="AM316" i="1" s="1"/>
  <c r="Q317" i="1"/>
  <c r="AM317" i="1" s="1"/>
  <c r="Q318" i="1"/>
  <c r="AM318" i="1" s="1"/>
  <c r="Q319" i="1"/>
  <c r="AL319" i="1" s="1"/>
  <c r="Q320" i="1"/>
  <c r="AL320" i="1" s="1"/>
  <c r="Q321" i="1"/>
  <c r="AM321" i="1" s="1"/>
  <c r="Q322" i="1"/>
  <c r="AM322" i="1" s="1"/>
  <c r="Q323" i="1"/>
  <c r="AM323" i="1" s="1"/>
  <c r="Q324" i="1"/>
  <c r="AM324" i="1" s="1"/>
  <c r="Q325" i="1"/>
  <c r="AM325" i="1" s="1"/>
  <c r="Q326" i="1"/>
  <c r="AM326" i="1" s="1"/>
  <c r="Q327" i="1"/>
  <c r="AM327" i="1" s="1"/>
  <c r="Q328" i="1"/>
  <c r="AM328" i="1" s="1"/>
  <c r="Q329" i="1"/>
  <c r="AM329" i="1" s="1"/>
  <c r="Q330" i="1"/>
  <c r="AM330" i="1" s="1"/>
  <c r="Q331" i="1"/>
  <c r="AL331" i="1" s="1"/>
  <c r="Q332" i="1"/>
  <c r="AL332" i="1" s="1"/>
  <c r="Q333" i="1"/>
  <c r="AM333" i="1" s="1"/>
  <c r="Q334" i="1"/>
  <c r="AM334" i="1" s="1"/>
  <c r="Q335" i="1"/>
  <c r="Q336" i="1"/>
  <c r="AL336" i="1" s="1"/>
  <c r="Q337" i="1"/>
  <c r="AM337" i="1" s="1"/>
  <c r="Q338" i="1"/>
  <c r="AM338" i="1" s="1"/>
  <c r="Q339" i="1"/>
  <c r="AM339" i="1" s="1"/>
  <c r="Q340" i="1"/>
  <c r="AM340" i="1" s="1"/>
  <c r="Q341" i="1"/>
  <c r="AM341" i="1" s="1"/>
  <c r="Q342" i="1"/>
  <c r="AM342" i="1" s="1"/>
  <c r="Q343" i="1"/>
  <c r="AL343" i="1" s="1"/>
  <c r="Q344" i="1"/>
  <c r="AL344" i="1" s="1"/>
  <c r="Q345" i="1"/>
  <c r="AM345" i="1" s="1"/>
  <c r="Q346" i="1"/>
  <c r="AM346" i="1" s="1"/>
  <c r="Q347" i="1"/>
  <c r="AM347" i="1" s="1"/>
  <c r="Q348" i="1"/>
  <c r="AM348" i="1" s="1"/>
  <c r="Q349" i="1"/>
  <c r="AM349" i="1" s="1"/>
  <c r="Q350" i="1"/>
  <c r="AM350" i="1" s="1"/>
  <c r="Q351" i="1"/>
  <c r="AM351" i="1" s="1"/>
  <c r="Q352" i="1"/>
  <c r="AM352" i="1" s="1"/>
  <c r="Q353" i="1"/>
  <c r="AM353" i="1" s="1"/>
  <c r="Q354" i="1"/>
  <c r="AM354" i="1" s="1"/>
  <c r="Q355" i="1"/>
  <c r="AL355" i="1" s="1"/>
  <c r="Q356" i="1"/>
  <c r="AL356" i="1" s="1"/>
  <c r="Q357" i="1"/>
  <c r="AM357" i="1" s="1"/>
  <c r="Q358" i="1"/>
  <c r="AM358" i="1" s="1"/>
  <c r="Q359" i="1"/>
  <c r="AM359" i="1" s="1"/>
  <c r="Q360" i="1"/>
  <c r="AM360" i="1" s="1"/>
  <c r="Q361" i="1"/>
  <c r="AM361" i="1" s="1"/>
  <c r="Q362" i="1"/>
  <c r="AM362" i="1" s="1"/>
  <c r="Q363" i="1"/>
  <c r="AM363" i="1" s="1"/>
  <c r="Q364" i="1"/>
  <c r="AM364" i="1" s="1"/>
  <c r="Q365" i="1"/>
  <c r="AM365" i="1" s="1"/>
  <c r="Q366" i="1"/>
  <c r="AM366" i="1" s="1"/>
  <c r="Q367" i="1"/>
  <c r="AL367" i="1" s="1"/>
  <c r="Q368" i="1"/>
  <c r="AL368" i="1" s="1"/>
  <c r="Q369" i="1"/>
  <c r="AM369" i="1" s="1"/>
  <c r="Q370" i="1"/>
  <c r="AM370" i="1" s="1"/>
  <c r="Q371" i="1"/>
  <c r="Q372" i="1"/>
  <c r="AL372" i="1" s="1"/>
  <c r="Q373" i="1"/>
  <c r="AM373" i="1" s="1"/>
  <c r="Q374" i="1"/>
  <c r="AM374" i="1" s="1"/>
  <c r="Q375" i="1"/>
  <c r="AM375" i="1" s="1"/>
  <c r="Q376" i="1"/>
  <c r="AM376" i="1" s="1"/>
  <c r="Q377" i="1"/>
  <c r="AM377" i="1" s="1"/>
  <c r="Q378" i="1"/>
  <c r="AM378" i="1" s="1"/>
  <c r="Q379" i="1"/>
  <c r="AL379" i="1" s="1"/>
  <c r="Q380" i="1"/>
  <c r="AL380" i="1" s="1"/>
  <c r="Q381" i="1"/>
  <c r="AM381" i="1" s="1"/>
  <c r="Q382" i="1"/>
  <c r="AM382" i="1" s="1"/>
  <c r="Q383" i="1"/>
  <c r="AM383" i="1" s="1"/>
  <c r="Q384" i="1"/>
  <c r="AM384" i="1" s="1"/>
  <c r="Q385" i="1"/>
  <c r="AM385" i="1" s="1"/>
  <c r="Q386" i="1"/>
  <c r="AM386" i="1" s="1"/>
  <c r="Q387" i="1"/>
  <c r="AM387" i="1" s="1"/>
  <c r="Q388" i="1"/>
  <c r="AM388" i="1" s="1"/>
  <c r="Q389" i="1"/>
  <c r="AM389" i="1" s="1"/>
  <c r="Q390" i="1"/>
  <c r="AM390" i="1" s="1"/>
  <c r="Q391" i="1"/>
  <c r="AL391" i="1" s="1"/>
  <c r="Q392" i="1"/>
  <c r="AL392" i="1" s="1"/>
  <c r="Q393" i="1"/>
  <c r="AM393" i="1" s="1"/>
  <c r="Q394" i="1"/>
  <c r="AM394" i="1" s="1"/>
  <c r="Q395" i="1"/>
  <c r="AM395" i="1" s="1"/>
  <c r="Q396" i="1"/>
  <c r="AM396" i="1" s="1"/>
  <c r="Q397" i="1"/>
  <c r="AM397" i="1" s="1"/>
  <c r="Q398" i="1"/>
  <c r="AM398" i="1" s="1"/>
  <c r="Q399" i="1"/>
  <c r="AM399" i="1" s="1"/>
  <c r="Q400" i="1"/>
  <c r="AM400" i="1" s="1"/>
  <c r="Q401" i="1"/>
  <c r="AM401" i="1" s="1"/>
  <c r="Q402" i="1"/>
  <c r="AM402" i="1" s="1"/>
  <c r="Q403" i="1"/>
  <c r="AL403" i="1" s="1"/>
  <c r="Q404" i="1"/>
  <c r="AL404" i="1" s="1"/>
  <c r="Q405" i="1"/>
  <c r="AM405" i="1" s="1"/>
  <c r="Q406" i="1"/>
  <c r="AM406" i="1" s="1"/>
  <c r="Q407" i="1"/>
  <c r="Q408" i="1"/>
  <c r="AL408" i="1" s="1"/>
  <c r="Q409" i="1"/>
  <c r="AM409" i="1" s="1"/>
  <c r="Q410" i="1"/>
  <c r="AM410" i="1" s="1"/>
  <c r="Q411" i="1"/>
  <c r="AM411" i="1" s="1"/>
  <c r="Q412" i="1"/>
  <c r="AM412" i="1" s="1"/>
  <c r="Q413" i="1"/>
  <c r="AM413" i="1" s="1"/>
  <c r="Q414" i="1"/>
  <c r="AM414" i="1" s="1"/>
  <c r="Q415" i="1"/>
  <c r="AL415" i="1" s="1"/>
  <c r="Q416" i="1"/>
  <c r="AL416" i="1" s="1"/>
  <c r="Q417" i="1"/>
  <c r="AM417" i="1" s="1"/>
  <c r="Q418" i="1"/>
  <c r="AM418" i="1" s="1"/>
  <c r="Q419" i="1"/>
  <c r="AM419" i="1" s="1"/>
  <c r="Q420" i="1"/>
  <c r="AM420" i="1" s="1"/>
  <c r="Q421" i="1"/>
  <c r="R421" i="1" s="1"/>
  <c r="Q422" i="1"/>
  <c r="AM422" i="1" s="1"/>
  <c r="Q423" i="1"/>
  <c r="AM423" i="1" s="1"/>
  <c r="Q424" i="1"/>
  <c r="AM424" i="1" s="1"/>
  <c r="Q425" i="1"/>
  <c r="AM425" i="1" s="1"/>
  <c r="Q426" i="1"/>
  <c r="AM426" i="1" s="1"/>
  <c r="Q427" i="1"/>
  <c r="AL427" i="1" s="1"/>
  <c r="Q428" i="1"/>
  <c r="AL428" i="1" s="1"/>
  <c r="Q429" i="1"/>
  <c r="AM429" i="1" s="1"/>
  <c r="Q430" i="1"/>
  <c r="AM430" i="1" s="1"/>
  <c r="Q431" i="1"/>
  <c r="AM431" i="1" s="1"/>
  <c r="Q432" i="1"/>
  <c r="AM432" i="1" s="1"/>
  <c r="Q433" i="1"/>
  <c r="AM433" i="1" s="1"/>
  <c r="Q434" i="1"/>
  <c r="AM434" i="1" s="1"/>
  <c r="Q435" i="1"/>
  <c r="AM435" i="1" s="1"/>
  <c r="Q436" i="1"/>
  <c r="AM436" i="1" s="1"/>
  <c r="Q437" i="1"/>
  <c r="AM437" i="1" s="1"/>
  <c r="Q438" i="1"/>
  <c r="AM438" i="1" s="1"/>
  <c r="Q439" i="1"/>
  <c r="AL439" i="1" s="1"/>
  <c r="Q440" i="1"/>
  <c r="AL440" i="1" s="1"/>
  <c r="Q441" i="1"/>
  <c r="AM441" i="1" s="1"/>
  <c r="Q442" i="1"/>
  <c r="AM442" i="1" s="1"/>
  <c r="Q443" i="1"/>
  <c r="AM443" i="1" s="1"/>
  <c r="Q444" i="1"/>
  <c r="AM444" i="1" s="1"/>
  <c r="Q445" i="1"/>
  <c r="AM445" i="1" s="1"/>
  <c r="Q446" i="1"/>
  <c r="AM446" i="1" s="1"/>
  <c r="Q447" i="1"/>
  <c r="AM447" i="1" s="1"/>
  <c r="Q448" i="1"/>
  <c r="AM448" i="1" s="1"/>
  <c r="Q449" i="1"/>
  <c r="AM449" i="1" s="1"/>
  <c r="Q450" i="1"/>
  <c r="AM450" i="1" s="1"/>
  <c r="Q451" i="1"/>
  <c r="AL451" i="1" s="1"/>
  <c r="Q452" i="1"/>
  <c r="AL452" i="1" s="1"/>
  <c r="Q453" i="1"/>
  <c r="AM453" i="1" s="1"/>
  <c r="Q454" i="1"/>
  <c r="AM454" i="1" s="1"/>
  <c r="Q455" i="1"/>
  <c r="AM455" i="1" s="1"/>
  <c r="Q456" i="1"/>
  <c r="AM456" i="1" s="1"/>
  <c r="Q457" i="1"/>
  <c r="AM457" i="1" s="1"/>
  <c r="Q458" i="1"/>
  <c r="AM458" i="1" s="1"/>
  <c r="Q459" i="1"/>
  <c r="AM459" i="1" s="1"/>
  <c r="Q460" i="1"/>
  <c r="AM460" i="1" s="1"/>
  <c r="Q461" i="1"/>
  <c r="Q462" i="1"/>
  <c r="AM462" i="1" s="1"/>
  <c r="Q463" i="1"/>
  <c r="AL463" i="1" s="1"/>
  <c r="Q464" i="1"/>
  <c r="AL464" i="1" s="1"/>
  <c r="Q465" i="1"/>
  <c r="AM465" i="1" s="1"/>
  <c r="Q466" i="1"/>
  <c r="AM466" i="1" s="1"/>
  <c r="Q467" i="1"/>
  <c r="AM467" i="1" s="1"/>
  <c r="Q468" i="1"/>
  <c r="AL468" i="1" s="1"/>
  <c r="Q469" i="1"/>
  <c r="AM469" i="1" s="1"/>
  <c r="Q470" i="1"/>
  <c r="AM470" i="1" s="1"/>
  <c r="Q471" i="1"/>
  <c r="AM471" i="1" s="1"/>
  <c r="Q472" i="1"/>
  <c r="AM472" i="1" s="1"/>
  <c r="Q473" i="1"/>
  <c r="AM473" i="1" s="1"/>
  <c r="Q474" i="1"/>
  <c r="AM474" i="1" s="1"/>
  <c r="Q475" i="1"/>
  <c r="AM475" i="1" s="1"/>
  <c r="Q476" i="1"/>
  <c r="AM476" i="1" s="1"/>
  <c r="Q477" i="1"/>
  <c r="AM477" i="1" s="1"/>
  <c r="Q478" i="1"/>
  <c r="AM478" i="1" s="1"/>
  <c r="Q479" i="1"/>
  <c r="AM479" i="1" s="1"/>
  <c r="Q480" i="1"/>
  <c r="AM480" i="1" s="1"/>
  <c r="Q481" i="1"/>
  <c r="AK481" i="1" s="1"/>
  <c r="Q482" i="1"/>
  <c r="AM482" i="1" s="1"/>
  <c r="Q483" i="1"/>
  <c r="AM483" i="1" s="1"/>
  <c r="Q484" i="1"/>
  <c r="AM484" i="1" s="1"/>
  <c r="Q485" i="1"/>
  <c r="AM485" i="1" s="1"/>
  <c r="Q486" i="1"/>
  <c r="AM486" i="1" s="1"/>
  <c r="Q487" i="1"/>
  <c r="AM487" i="1" s="1"/>
  <c r="Q488" i="1"/>
  <c r="AK488" i="1" s="1"/>
  <c r="Q489" i="1"/>
  <c r="AM489" i="1" s="1"/>
  <c r="Q490" i="1"/>
  <c r="AM490" i="1" s="1"/>
  <c r="Q491" i="1"/>
  <c r="Q492" i="1"/>
  <c r="AM492" i="1" s="1"/>
  <c r="Q493" i="1"/>
  <c r="AM493" i="1" s="1"/>
  <c r="Q494" i="1"/>
  <c r="AM494" i="1" s="1"/>
  <c r="Q495" i="1"/>
  <c r="AM495" i="1" s="1"/>
  <c r="Q496" i="1"/>
  <c r="AM496" i="1" s="1"/>
  <c r="Q497" i="1"/>
  <c r="AM497" i="1" s="1"/>
  <c r="Q498" i="1"/>
  <c r="AM498" i="1" s="1"/>
  <c r="Q499" i="1"/>
  <c r="AM499" i="1" s="1"/>
  <c r="Q500" i="1"/>
  <c r="AM500" i="1" s="1"/>
  <c r="Q501" i="1"/>
  <c r="AM501" i="1" s="1"/>
  <c r="Q502" i="1"/>
  <c r="AM502" i="1" s="1"/>
  <c r="Q503" i="1"/>
  <c r="Q504" i="1"/>
  <c r="AM504" i="1" s="1"/>
  <c r="Q505" i="1"/>
  <c r="AM505" i="1" s="1"/>
  <c r="Q506" i="1"/>
  <c r="AM506" i="1" s="1"/>
  <c r="Q507" i="1"/>
  <c r="AM507" i="1" s="1"/>
  <c r="Q508" i="1"/>
  <c r="AM508" i="1" s="1"/>
  <c r="Q509" i="1"/>
  <c r="AM509" i="1" s="1"/>
  <c r="Q510" i="1"/>
  <c r="AM510" i="1" s="1"/>
  <c r="Q511" i="1"/>
  <c r="AM511" i="1" s="1"/>
  <c r="Q512" i="1"/>
  <c r="AM512" i="1" s="1"/>
  <c r="Q513" i="1"/>
  <c r="AM513" i="1" s="1"/>
  <c r="Q514" i="1"/>
  <c r="AM514" i="1" s="1"/>
  <c r="Q515" i="1"/>
  <c r="Q516" i="1"/>
  <c r="AK516" i="1" s="1"/>
  <c r="Q517" i="1"/>
  <c r="AM517" i="1" s="1"/>
  <c r="Q518" i="1"/>
  <c r="AM518" i="1" s="1"/>
  <c r="Q519" i="1"/>
  <c r="AM519" i="1" s="1"/>
  <c r="Q520" i="1"/>
  <c r="AM520" i="1" s="1"/>
  <c r="P20"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 i="1"/>
  <c r="W517" i="1"/>
  <c r="W518" i="1"/>
  <c r="W519" i="1"/>
  <c r="W520" i="1"/>
  <c r="W513" i="1"/>
  <c r="W514" i="1"/>
  <c r="W515" i="1"/>
  <c r="W516" i="1"/>
  <c r="P6" i="1"/>
  <c r="P7" i="1"/>
  <c r="P8" i="1"/>
  <c r="P9" i="1"/>
  <c r="P15" i="1"/>
  <c r="P16" i="1"/>
  <c r="P17" i="1"/>
  <c r="P21"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 i="1"/>
  <c r="AK9" i="1" l="1"/>
  <c r="AL569" i="1"/>
  <c r="AK13" i="1"/>
  <c r="AM9" i="1"/>
  <c r="AL9" i="1"/>
  <c r="AM13" i="1"/>
  <c r="R11" i="1"/>
  <c r="AL13" i="1"/>
  <c r="R568" i="1"/>
  <c r="AL12" i="1"/>
  <c r="AK12" i="1"/>
  <c r="AM18" i="1"/>
  <c r="AL18" i="1"/>
  <c r="AK18" i="1"/>
  <c r="R18" i="1"/>
  <c r="AM568" i="1"/>
  <c r="AL568" i="1"/>
  <c r="E11" i="1"/>
  <c r="AM12" i="1"/>
  <c r="AM11" i="1"/>
  <c r="AL11" i="1"/>
  <c r="K27" i="1"/>
  <c r="J32" i="1"/>
  <c r="K32" i="1"/>
  <c r="H40" i="2"/>
  <c r="AL553" i="1"/>
  <c r="E14" i="1"/>
  <c r="E15" i="1" s="1"/>
  <c r="E16" i="1" s="1"/>
  <c r="L40" i="2"/>
  <c r="D9" i="1"/>
  <c r="J27" i="1"/>
  <c r="J30" i="1"/>
  <c r="J25" i="1"/>
  <c r="K29" i="1"/>
  <c r="K28" i="1"/>
  <c r="J28" i="1"/>
  <c r="K26" i="1"/>
  <c r="AL552" i="1"/>
  <c r="AL563" i="1"/>
  <c r="AL551" i="1"/>
  <c r="AK566" i="1"/>
  <c r="AK565" i="1"/>
  <c r="R546" i="1"/>
  <c r="G40" i="2"/>
  <c r="AM564" i="1"/>
  <c r="AM563" i="1"/>
  <c r="AL566" i="1"/>
  <c r="R563" i="1"/>
  <c r="R566" i="1"/>
  <c r="R553" i="1"/>
  <c r="AM553" i="1"/>
  <c r="AM552" i="1"/>
  <c r="AM551" i="1"/>
  <c r="AL560" i="1"/>
  <c r="AL559" i="1"/>
  <c r="R562" i="1"/>
  <c r="AL558" i="1"/>
  <c r="R561" i="1"/>
  <c r="R560" i="1"/>
  <c r="AL561" i="1"/>
  <c r="R559" i="1"/>
  <c r="R552" i="1"/>
  <c r="AK561" i="1"/>
  <c r="R551" i="1"/>
  <c r="AM546" i="1"/>
  <c r="AM562" i="1"/>
  <c r="AK556" i="1"/>
  <c r="R558" i="1"/>
  <c r="AK558" i="1"/>
  <c r="AM556" i="1"/>
  <c r="AM544" i="1"/>
  <c r="AM554" i="1"/>
  <c r="R565" i="1"/>
  <c r="AL565" i="1"/>
  <c r="AK562" i="1"/>
  <c r="R564" i="1"/>
  <c r="AM567" i="1"/>
  <c r="AL564" i="1"/>
  <c r="AM543" i="1"/>
  <c r="AK560" i="1"/>
  <c r="R550" i="1"/>
  <c r="AK559" i="1"/>
  <c r="AM22" i="1"/>
  <c r="AK557" i="1"/>
  <c r="AM549" i="1"/>
  <c r="AK555" i="1"/>
  <c r="R557" i="1"/>
  <c r="R543" i="1"/>
  <c r="AL557" i="1"/>
  <c r="AK554" i="1"/>
  <c r="R556" i="1"/>
  <c r="R555" i="1"/>
  <c r="AL555" i="1"/>
  <c r="R554" i="1"/>
  <c r="AK567" i="1"/>
  <c r="R567" i="1"/>
  <c r="J21" i="1"/>
  <c r="J22" i="1"/>
  <c r="J23" i="1"/>
  <c r="J40" i="2"/>
  <c r="F40" i="2"/>
  <c r="AM550" i="1"/>
  <c r="AL550" i="1"/>
  <c r="R549" i="1"/>
  <c r="AL549" i="1"/>
  <c r="R548" i="1"/>
  <c r="AM548" i="1"/>
  <c r="AL548" i="1"/>
  <c r="R547" i="1"/>
  <c r="AM547" i="1"/>
  <c r="AL547" i="1"/>
  <c r="AL546" i="1"/>
  <c r="R545" i="1"/>
  <c r="AM545" i="1"/>
  <c r="AL545" i="1"/>
  <c r="R544" i="1"/>
  <c r="AL544" i="1"/>
  <c r="AL543" i="1"/>
  <c r="I40" i="2"/>
  <c r="R542" i="1"/>
  <c r="AM523" i="1"/>
  <c r="AM542" i="1"/>
  <c r="AL542" i="1"/>
  <c r="AM540" i="1"/>
  <c r="AL540" i="1"/>
  <c r="J16" i="1"/>
  <c r="AM93" i="1"/>
  <c r="AM481" i="1"/>
  <c r="AM463" i="1"/>
  <c r="AM336" i="1"/>
  <c r="AM264" i="1"/>
  <c r="AM528" i="1"/>
  <c r="AM408" i="1"/>
  <c r="AM308" i="1"/>
  <c r="AM284" i="1"/>
  <c r="AM212" i="1"/>
  <c r="AM188" i="1"/>
  <c r="AM525" i="1"/>
  <c r="AM452" i="1"/>
  <c r="AM428" i="1"/>
  <c r="AM356" i="1"/>
  <c r="AM332" i="1"/>
  <c r="AM307" i="1"/>
  <c r="AM283" i="1"/>
  <c r="AM260" i="1"/>
  <c r="AM237" i="1"/>
  <c r="AM211" i="1"/>
  <c r="AM187" i="1"/>
  <c r="AM524" i="1"/>
  <c r="AM451" i="1"/>
  <c r="AM427" i="1"/>
  <c r="AM404" i="1"/>
  <c r="AM355" i="1"/>
  <c r="AM331" i="1"/>
  <c r="AM259" i="1"/>
  <c r="AM236" i="1"/>
  <c r="AM403" i="1"/>
  <c r="AM380" i="1"/>
  <c r="AM235" i="1"/>
  <c r="AM132" i="1"/>
  <c r="AM36" i="1"/>
  <c r="AM521" i="1"/>
  <c r="AM421" i="1"/>
  <c r="AM379" i="1"/>
  <c r="AM300" i="1"/>
  <c r="AM201" i="1"/>
  <c r="AM180" i="1"/>
  <c r="AM224" i="1"/>
  <c r="AM200" i="1"/>
  <c r="AM129" i="1"/>
  <c r="AM468" i="1"/>
  <c r="AM368" i="1"/>
  <c r="AM344" i="1"/>
  <c r="AM273" i="1"/>
  <c r="AM223" i="1"/>
  <c r="AM199" i="1"/>
  <c r="AM488" i="1"/>
  <c r="AM367" i="1"/>
  <c r="AM343" i="1"/>
  <c r="AM296" i="1"/>
  <c r="AM272" i="1"/>
  <c r="AM248" i="1"/>
  <c r="AM537" i="1"/>
  <c r="AM440" i="1"/>
  <c r="AM416" i="1"/>
  <c r="AM392" i="1"/>
  <c r="AM320" i="1"/>
  <c r="AM295" i="1"/>
  <c r="AM271" i="1"/>
  <c r="AM247" i="1"/>
  <c r="AM536" i="1"/>
  <c r="AM464" i="1"/>
  <c r="AM439" i="1"/>
  <c r="AM415" i="1"/>
  <c r="AM391" i="1"/>
  <c r="AM319" i="1"/>
  <c r="J17" i="1"/>
  <c r="AK461" i="1"/>
  <c r="AM461" i="1"/>
  <c r="AK41" i="1"/>
  <c r="AM41" i="1"/>
  <c r="AM516" i="1"/>
  <c r="AL515" i="1"/>
  <c r="AM515" i="1"/>
  <c r="AL503" i="1"/>
  <c r="AM503" i="1"/>
  <c r="AL491" i="1"/>
  <c r="AM491" i="1"/>
  <c r="AL407" i="1"/>
  <c r="AM407" i="1"/>
  <c r="AL371" i="1"/>
  <c r="AM371" i="1"/>
  <c r="AL335" i="1"/>
  <c r="AM335" i="1"/>
  <c r="AL299" i="1"/>
  <c r="AM299" i="1"/>
  <c r="AL263" i="1"/>
  <c r="AM263" i="1"/>
  <c r="AL227" i="1"/>
  <c r="AM227" i="1"/>
  <c r="AL179" i="1"/>
  <c r="AM179" i="1"/>
  <c r="AL131" i="1"/>
  <c r="AM131" i="1"/>
  <c r="AL83" i="1"/>
  <c r="AM83" i="1"/>
  <c r="AM372" i="1"/>
  <c r="AM228" i="1"/>
  <c r="AM84" i="1"/>
  <c r="AL539" i="1"/>
  <c r="AM539" i="1"/>
  <c r="AL527" i="1"/>
  <c r="AM527" i="1"/>
  <c r="AM165" i="1"/>
  <c r="AL14" i="1"/>
  <c r="AL20" i="1"/>
  <c r="AL470" i="1"/>
  <c r="AL446" i="1"/>
  <c r="AL410" i="1"/>
  <c r="AL374" i="1"/>
  <c r="AL338" i="1"/>
  <c r="AL302" i="1"/>
  <c r="AL266" i="1"/>
  <c r="AL230" i="1"/>
  <c r="AL184" i="1"/>
  <c r="AL136" i="1"/>
  <c r="AL88" i="1"/>
  <c r="AL40" i="1"/>
  <c r="AL483" i="1"/>
  <c r="AL471" i="1"/>
  <c r="AL459" i="1"/>
  <c r="AL447" i="1"/>
  <c r="AL435" i="1"/>
  <c r="AL423" i="1"/>
  <c r="AL411" i="1"/>
  <c r="AL399" i="1"/>
  <c r="AL387" i="1"/>
  <c r="AL375" i="1"/>
  <c r="AL363" i="1"/>
  <c r="AL351" i="1"/>
  <c r="AL339" i="1"/>
  <c r="AL327" i="1"/>
  <c r="AL315" i="1"/>
  <c r="AL303" i="1"/>
  <c r="AL291" i="1"/>
  <c r="AL279" i="1"/>
  <c r="AL267" i="1"/>
  <c r="AL255" i="1"/>
  <c r="AL243" i="1"/>
  <c r="AL231" i="1"/>
  <c r="AL219" i="1"/>
  <c r="AL207" i="1"/>
  <c r="AL195" i="1"/>
  <c r="AL183" i="1"/>
  <c r="AL171" i="1"/>
  <c r="AL159" i="1"/>
  <c r="AL147" i="1"/>
  <c r="AL135" i="1"/>
  <c r="AL123" i="1"/>
  <c r="AL111" i="1"/>
  <c r="AL99" i="1"/>
  <c r="AL87" i="1"/>
  <c r="AL75" i="1"/>
  <c r="AL63" i="1"/>
  <c r="AL51" i="1"/>
  <c r="AL39" i="1"/>
  <c r="AL28" i="1"/>
  <c r="R529" i="1"/>
  <c r="R507" i="1"/>
  <c r="AK538" i="1"/>
  <c r="AK480" i="1"/>
  <c r="AL538" i="1"/>
  <c r="AL526" i="1"/>
  <c r="AL514" i="1"/>
  <c r="AL502" i="1"/>
  <c r="AL490" i="1"/>
  <c r="AL444" i="1"/>
  <c r="R386" i="1"/>
  <c r="R278" i="1"/>
  <c r="R242" i="1"/>
  <c r="AL218" i="1"/>
  <c r="R206" i="1"/>
  <c r="AL206" i="1"/>
  <c r="AL194" i="1"/>
  <c r="AL182" i="1"/>
  <c r="R170" i="1"/>
  <c r="AL170" i="1"/>
  <c r="AL158" i="1"/>
  <c r="AL146" i="1"/>
  <c r="AL134" i="1"/>
  <c r="AL122" i="1"/>
  <c r="AL110" i="1"/>
  <c r="R98" i="1"/>
  <c r="AL98" i="1"/>
  <c r="AL86" i="1"/>
  <c r="AL74" i="1"/>
  <c r="AL62" i="1"/>
  <c r="AL50" i="1"/>
  <c r="AL38" i="1"/>
  <c r="AL27" i="1"/>
  <c r="AK531" i="1"/>
  <c r="AL513" i="1"/>
  <c r="AL501" i="1"/>
  <c r="AL489" i="1"/>
  <c r="AL467" i="1"/>
  <c r="AL443" i="1"/>
  <c r="AK517" i="1"/>
  <c r="R505" i="1"/>
  <c r="R493" i="1"/>
  <c r="R481" i="1"/>
  <c r="AL481" i="1"/>
  <c r="AK469" i="1"/>
  <c r="AL469" i="1"/>
  <c r="R457" i="1"/>
  <c r="AL457" i="1"/>
  <c r="AL445" i="1"/>
  <c r="R433" i="1"/>
  <c r="AL433" i="1"/>
  <c r="AL421" i="1"/>
  <c r="R409" i="1"/>
  <c r="AL409" i="1"/>
  <c r="R397" i="1"/>
  <c r="AL397" i="1"/>
  <c r="AK385" i="1"/>
  <c r="AL385" i="1"/>
  <c r="AL373" i="1"/>
  <c r="AL361" i="1"/>
  <c r="AK349" i="1"/>
  <c r="AL349" i="1"/>
  <c r="AL337" i="1"/>
  <c r="AK325" i="1"/>
  <c r="AL325" i="1"/>
  <c r="AK313" i="1"/>
  <c r="AL313" i="1"/>
  <c r="AL301" i="1"/>
  <c r="AK289" i="1"/>
  <c r="AL289" i="1"/>
  <c r="AK277" i="1"/>
  <c r="AL277" i="1"/>
  <c r="AL265" i="1"/>
  <c r="AL253" i="1"/>
  <c r="AK241" i="1"/>
  <c r="AL241" i="1"/>
  <c r="AL229" i="1"/>
  <c r="AK217" i="1"/>
  <c r="AL217" i="1"/>
  <c r="AK205" i="1"/>
  <c r="AL205" i="1"/>
  <c r="AL193" i="1"/>
  <c r="AL181" i="1"/>
  <c r="AK169" i="1"/>
  <c r="AL169" i="1"/>
  <c r="AL157" i="1"/>
  <c r="AK145" i="1"/>
  <c r="AL145" i="1"/>
  <c r="AK133" i="1"/>
  <c r="AL133" i="1"/>
  <c r="AL121" i="1"/>
  <c r="AL109" i="1"/>
  <c r="AK97" i="1"/>
  <c r="AL97" i="1"/>
  <c r="AK85" i="1"/>
  <c r="AL85" i="1"/>
  <c r="AL73" i="1"/>
  <c r="AK61" i="1"/>
  <c r="AL61" i="1"/>
  <c r="AK49" i="1"/>
  <c r="AL49" i="1"/>
  <c r="AL37" i="1"/>
  <c r="AK26" i="1"/>
  <c r="AL26" i="1"/>
  <c r="R539" i="1"/>
  <c r="R527" i="1"/>
  <c r="R420" i="1"/>
  <c r="AK530" i="1"/>
  <c r="AK455" i="1"/>
  <c r="AL536" i="1"/>
  <c r="AL524" i="1"/>
  <c r="AL512" i="1"/>
  <c r="AL500" i="1"/>
  <c r="AL488" i="1"/>
  <c r="AL436" i="1"/>
  <c r="AL400" i="1"/>
  <c r="AL364" i="1"/>
  <c r="AL328" i="1"/>
  <c r="AL292" i="1"/>
  <c r="AL256" i="1"/>
  <c r="AL220" i="1"/>
  <c r="AL172" i="1"/>
  <c r="AL124" i="1"/>
  <c r="AL76" i="1"/>
  <c r="AL29" i="1"/>
  <c r="AK504" i="1"/>
  <c r="AK468" i="1"/>
  <c r="AK456" i="1"/>
  <c r="AK432" i="1"/>
  <c r="AK408" i="1"/>
  <c r="AK372" i="1"/>
  <c r="AK360" i="1"/>
  <c r="AK348" i="1"/>
  <c r="AK336" i="1"/>
  <c r="AK324" i="1"/>
  <c r="AK312" i="1"/>
  <c r="AK300" i="1"/>
  <c r="AK288" i="1"/>
  <c r="AK276" i="1"/>
  <c r="AK264" i="1"/>
  <c r="AK252" i="1"/>
  <c r="AK240" i="1"/>
  <c r="AK228" i="1"/>
  <c r="AK216" i="1"/>
  <c r="AK204" i="1"/>
  <c r="AK192" i="1"/>
  <c r="AK180" i="1"/>
  <c r="AK168" i="1"/>
  <c r="AK156" i="1"/>
  <c r="AK144" i="1"/>
  <c r="AK132" i="1"/>
  <c r="AK120" i="1"/>
  <c r="AK108" i="1"/>
  <c r="AK96" i="1"/>
  <c r="AK84" i="1"/>
  <c r="AK72" i="1"/>
  <c r="AK60" i="1"/>
  <c r="AK48" i="1"/>
  <c r="AK36" i="1"/>
  <c r="AK25" i="1"/>
  <c r="R349" i="1"/>
  <c r="AK529" i="1"/>
  <c r="AK443" i="1"/>
  <c r="AL535" i="1"/>
  <c r="AL511" i="1"/>
  <c r="AL499" i="1"/>
  <c r="AL487" i="1"/>
  <c r="AL434" i="1"/>
  <c r="AL398" i="1"/>
  <c r="AL362" i="1"/>
  <c r="AL326" i="1"/>
  <c r="AL290" i="1"/>
  <c r="AL254" i="1"/>
  <c r="AL216" i="1"/>
  <c r="AL168" i="1"/>
  <c r="AL120" i="1"/>
  <c r="AL72" i="1"/>
  <c r="AL25" i="1"/>
  <c r="R503" i="1"/>
  <c r="R491" i="1"/>
  <c r="AK479" i="1"/>
  <c r="R431" i="1"/>
  <c r="AK407" i="1"/>
  <c r="R395" i="1"/>
  <c r="AK383" i="1"/>
  <c r="AK371" i="1"/>
  <c r="AK347" i="1"/>
  <c r="AK335" i="1"/>
  <c r="AK311" i="1"/>
  <c r="AK299" i="1"/>
  <c r="AK287" i="1"/>
  <c r="AK275" i="1"/>
  <c r="AK263" i="1"/>
  <c r="AK251" i="1"/>
  <c r="AK239" i="1"/>
  <c r="AK227" i="1"/>
  <c r="AK215" i="1"/>
  <c r="AK203" i="1"/>
  <c r="AK191" i="1"/>
  <c r="AK179" i="1"/>
  <c r="AK167" i="1"/>
  <c r="AK143" i="1"/>
  <c r="AK131" i="1"/>
  <c r="AK119" i="1"/>
  <c r="AK95" i="1"/>
  <c r="AK83" i="1"/>
  <c r="AK71" i="1"/>
  <c r="AK59" i="1"/>
  <c r="AK47" i="1"/>
  <c r="AK24" i="1"/>
  <c r="AK537" i="1"/>
  <c r="AK525" i="1"/>
  <c r="R256" i="1"/>
  <c r="AK526" i="1"/>
  <c r="AK433" i="1"/>
  <c r="AK124" i="1"/>
  <c r="AL534" i="1"/>
  <c r="AL522" i="1"/>
  <c r="AL510" i="1"/>
  <c r="AL498" i="1"/>
  <c r="AL484" i="1"/>
  <c r="AL460" i="1"/>
  <c r="AL432" i="1"/>
  <c r="AL396" i="1"/>
  <c r="AL360" i="1"/>
  <c r="AL324" i="1"/>
  <c r="AL288" i="1"/>
  <c r="AL252" i="1"/>
  <c r="AL215" i="1"/>
  <c r="AL167" i="1"/>
  <c r="AL119" i="1"/>
  <c r="AL71" i="1"/>
  <c r="AL24" i="1"/>
  <c r="AL478" i="1"/>
  <c r="AL466" i="1"/>
  <c r="AL454" i="1"/>
  <c r="AL430" i="1"/>
  <c r="AL418" i="1"/>
  <c r="AL406" i="1"/>
  <c r="AL394" i="1"/>
  <c r="AL382" i="1"/>
  <c r="AL370" i="1"/>
  <c r="AL154" i="1"/>
  <c r="AL142" i="1"/>
  <c r="AL130" i="1"/>
  <c r="AL118" i="1"/>
  <c r="AL106" i="1"/>
  <c r="AL94" i="1"/>
  <c r="AL82" i="1"/>
  <c r="AL70" i="1"/>
  <c r="AL58" i="1"/>
  <c r="AL46" i="1"/>
  <c r="AL35" i="1"/>
  <c r="AL23" i="1"/>
  <c r="R205" i="1"/>
  <c r="AK519" i="1"/>
  <c r="AK421" i="1"/>
  <c r="AL533" i="1"/>
  <c r="AL509" i="1"/>
  <c r="AL497" i="1"/>
  <c r="AL482" i="1"/>
  <c r="AL458" i="1"/>
  <c r="AL431" i="1"/>
  <c r="AL395" i="1"/>
  <c r="AL359" i="1"/>
  <c r="AL323" i="1"/>
  <c r="AL287" i="1"/>
  <c r="AL251" i="1"/>
  <c r="AL208" i="1"/>
  <c r="AL160" i="1"/>
  <c r="AL112" i="1"/>
  <c r="AL64" i="1"/>
  <c r="AL15" i="1"/>
  <c r="AK515" i="1"/>
  <c r="AL442" i="1"/>
  <c r="AL358" i="1"/>
  <c r="AL346" i="1"/>
  <c r="AL334" i="1"/>
  <c r="AL322" i="1"/>
  <c r="AL310" i="1"/>
  <c r="AL298" i="1"/>
  <c r="AL286" i="1"/>
  <c r="AL274" i="1"/>
  <c r="AL262" i="1"/>
  <c r="AL250" i="1"/>
  <c r="AL238" i="1"/>
  <c r="AL226" i="1"/>
  <c r="AL214" i="1"/>
  <c r="AL202" i="1"/>
  <c r="AL190" i="1"/>
  <c r="AL178" i="1"/>
  <c r="AL166" i="1"/>
  <c r="AL477" i="1"/>
  <c r="AL465" i="1"/>
  <c r="AL453" i="1"/>
  <c r="AL441" i="1"/>
  <c r="AL429" i="1"/>
  <c r="AL417" i="1"/>
  <c r="AL405" i="1"/>
  <c r="AL393" i="1"/>
  <c r="AL381" i="1"/>
  <c r="AL369" i="1"/>
  <c r="AL357" i="1"/>
  <c r="AL345" i="1"/>
  <c r="AL333" i="1"/>
  <c r="AL321" i="1"/>
  <c r="AL309" i="1"/>
  <c r="AL297" i="1"/>
  <c r="AL285" i="1"/>
  <c r="AL273" i="1"/>
  <c r="AL261" i="1"/>
  <c r="AL249" i="1"/>
  <c r="AL237" i="1"/>
  <c r="AL225" i="1"/>
  <c r="AL213" i="1"/>
  <c r="AL201" i="1"/>
  <c r="AL189" i="1"/>
  <c r="AL177" i="1"/>
  <c r="AL165" i="1"/>
  <c r="AL153" i="1"/>
  <c r="AL141" i="1"/>
  <c r="AL129" i="1"/>
  <c r="AL117" i="1"/>
  <c r="AL105" i="1"/>
  <c r="AL93" i="1"/>
  <c r="AL81" i="1"/>
  <c r="AL69" i="1"/>
  <c r="AL57" i="1"/>
  <c r="AL45" i="1"/>
  <c r="AL34" i="1"/>
  <c r="AL22" i="1"/>
  <c r="AL10" i="1"/>
  <c r="R131" i="1"/>
  <c r="AK514" i="1"/>
  <c r="AK420" i="1"/>
  <c r="AK88" i="1"/>
  <c r="AL532" i="1"/>
  <c r="AL520" i="1"/>
  <c r="AL508" i="1"/>
  <c r="AL496" i="1"/>
  <c r="AL480" i="1"/>
  <c r="AL456" i="1"/>
  <c r="AL424" i="1"/>
  <c r="AL388" i="1"/>
  <c r="AL352" i="1"/>
  <c r="AL316" i="1"/>
  <c r="AL280" i="1"/>
  <c r="AL244" i="1"/>
  <c r="AL204" i="1"/>
  <c r="AL156" i="1"/>
  <c r="AL108" i="1"/>
  <c r="AL60" i="1"/>
  <c r="AL176" i="1"/>
  <c r="AL164" i="1"/>
  <c r="AL152" i="1"/>
  <c r="AL140" i="1"/>
  <c r="AL128" i="1"/>
  <c r="AL116" i="1"/>
  <c r="AL104" i="1"/>
  <c r="AL92" i="1"/>
  <c r="AL80" i="1"/>
  <c r="AL68" i="1"/>
  <c r="AL56" i="1"/>
  <c r="AL44" i="1"/>
  <c r="AL33" i="1"/>
  <c r="AL21" i="1"/>
  <c r="AL8" i="1"/>
  <c r="R112" i="1"/>
  <c r="AK507" i="1"/>
  <c r="AK400" i="1"/>
  <c r="AK57" i="1"/>
  <c r="AL531" i="1"/>
  <c r="AL519" i="1"/>
  <c r="AL507" i="1"/>
  <c r="AL495" i="1"/>
  <c r="AL479" i="1"/>
  <c r="AL455" i="1"/>
  <c r="AL422" i="1"/>
  <c r="AL386" i="1"/>
  <c r="AL350" i="1"/>
  <c r="AL314" i="1"/>
  <c r="AL278" i="1"/>
  <c r="AL242" i="1"/>
  <c r="AL203" i="1"/>
  <c r="AL155" i="1"/>
  <c r="AL107" i="1"/>
  <c r="AL59" i="1"/>
  <c r="AL175" i="1"/>
  <c r="AL163" i="1"/>
  <c r="AL151" i="1"/>
  <c r="AL139" i="1"/>
  <c r="AL127" i="1"/>
  <c r="AL115" i="1"/>
  <c r="AL103" i="1"/>
  <c r="AL91" i="1"/>
  <c r="AL79" i="1"/>
  <c r="AL67" i="1"/>
  <c r="AL55" i="1"/>
  <c r="AL43" i="1"/>
  <c r="AL32" i="1"/>
  <c r="AL17" i="1"/>
  <c r="AL7" i="1"/>
  <c r="R76" i="1"/>
  <c r="AK502" i="1"/>
  <c r="AK381" i="1"/>
  <c r="AK52" i="1"/>
  <c r="AL530" i="1"/>
  <c r="AL518" i="1"/>
  <c r="AL506" i="1"/>
  <c r="AL494" i="1"/>
  <c r="AL476" i="1"/>
  <c r="AL420" i="1"/>
  <c r="AL384" i="1"/>
  <c r="AL348" i="1"/>
  <c r="AL312" i="1"/>
  <c r="AL276" i="1"/>
  <c r="AL240" i="1"/>
  <c r="AL196" i="1"/>
  <c r="AL148" i="1"/>
  <c r="AL100" i="1"/>
  <c r="AL52" i="1"/>
  <c r="AL6" i="1"/>
  <c r="AL486" i="1"/>
  <c r="AL474" i="1"/>
  <c r="AL462" i="1"/>
  <c r="AL450" i="1"/>
  <c r="AL438" i="1"/>
  <c r="AL426" i="1"/>
  <c r="AL414" i="1"/>
  <c r="AL402" i="1"/>
  <c r="AL390" i="1"/>
  <c r="AL378" i="1"/>
  <c r="AL366" i="1"/>
  <c r="AL354" i="1"/>
  <c r="AL342" i="1"/>
  <c r="AL330" i="1"/>
  <c r="AL318" i="1"/>
  <c r="AL306" i="1"/>
  <c r="AL294" i="1"/>
  <c r="AL282" i="1"/>
  <c r="AL270" i="1"/>
  <c r="AL258" i="1"/>
  <c r="AL246" i="1"/>
  <c r="AL234" i="1"/>
  <c r="AL222" i="1"/>
  <c r="AL210" i="1"/>
  <c r="AL198" i="1"/>
  <c r="AL186" i="1"/>
  <c r="AL174" i="1"/>
  <c r="AL162" i="1"/>
  <c r="AL150" i="1"/>
  <c r="AL138" i="1"/>
  <c r="AL126" i="1"/>
  <c r="AL114" i="1"/>
  <c r="AL102" i="1"/>
  <c r="AL90" i="1"/>
  <c r="AL78" i="1"/>
  <c r="AL66" i="1"/>
  <c r="AL54" i="1"/>
  <c r="AL42" i="1"/>
  <c r="AL31" i="1"/>
  <c r="AL16" i="1"/>
  <c r="R521" i="1"/>
  <c r="R24" i="1"/>
  <c r="AK495" i="1"/>
  <c r="AK345" i="1"/>
  <c r="AL529" i="1"/>
  <c r="AL517" i="1"/>
  <c r="AL505" i="1"/>
  <c r="AL493" i="1"/>
  <c r="AL475" i="1"/>
  <c r="AL419" i="1"/>
  <c r="AL383" i="1"/>
  <c r="AL347" i="1"/>
  <c r="AL311" i="1"/>
  <c r="AL275" i="1"/>
  <c r="AL239" i="1"/>
  <c r="AL192" i="1"/>
  <c r="AL144" i="1"/>
  <c r="AL96" i="1"/>
  <c r="AL48" i="1"/>
  <c r="AL485" i="1"/>
  <c r="AL473" i="1"/>
  <c r="AL461" i="1"/>
  <c r="AK449" i="1"/>
  <c r="AL449" i="1"/>
  <c r="AK437" i="1"/>
  <c r="AL437" i="1"/>
  <c r="AL425" i="1"/>
  <c r="AK413" i="1"/>
  <c r="AL413" i="1"/>
  <c r="AK401" i="1"/>
  <c r="AL401" i="1"/>
  <c r="AK389" i="1"/>
  <c r="AL389" i="1"/>
  <c r="AL377" i="1"/>
  <c r="AK365" i="1"/>
  <c r="AL365" i="1"/>
  <c r="AL353" i="1"/>
  <c r="AK341" i="1"/>
  <c r="AL341" i="1"/>
  <c r="AL329" i="1"/>
  <c r="AL317" i="1"/>
  <c r="AK305" i="1"/>
  <c r="AL305" i="1"/>
  <c r="AK293" i="1"/>
  <c r="AL293" i="1"/>
  <c r="AL281" i="1"/>
  <c r="AK269" i="1"/>
  <c r="AL269" i="1"/>
  <c r="AL257" i="1"/>
  <c r="AL245" i="1"/>
  <c r="AK233" i="1"/>
  <c r="AL233" i="1"/>
  <c r="AK221" i="1"/>
  <c r="AL221" i="1"/>
  <c r="AL209" i="1"/>
  <c r="AK197" i="1"/>
  <c r="AL197" i="1"/>
  <c r="AK185" i="1"/>
  <c r="AL185" i="1"/>
  <c r="AL173" i="1"/>
  <c r="AK161" i="1"/>
  <c r="AL161" i="1"/>
  <c r="AK149" i="1"/>
  <c r="AL149" i="1"/>
  <c r="AL137" i="1"/>
  <c r="AK125" i="1"/>
  <c r="AL125" i="1"/>
  <c r="AL113" i="1"/>
  <c r="AL101" i="1"/>
  <c r="AK89" i="1"/>
  <c r="AL89" i="1"/>
  <c r="AL77" i="1"/>
  <c r="AL65" i="1"/>
  <c r="AK53" i="1"/>
  <c r="AL53" i="1"/>
  <c r="AL41" i="1"/>
  <c r="AL30" i="1"/>
  <c r="AL5" i="1"/>
  <c r="AM5" i="1"/>
  <c r="AK490" i="1"/>
  <c r="AK309" i="1"/>
  <c r="AK22" i="1"/>
  <c r="AL528" i="1"/>
  <c r="AL516" i="1"/>
  <c r="AL504" i="1"/>
  <c r="AL492" i="1"/>
  <c r="AL472" i="1"/>
  <c r="AL448" i="1"/>
  <c r="AL412" i="1"/>
  <c r="AL376" i="1"/>
  <c r="AL340" i="1"/>
  <c r="AL304" i="1"/>
  <c r="AL268" i="1"/>
  <c r="AL232" i="1"/>
  <c r="AL191" i="1"/>
  <c r="AL143" i="1"/>
  <c r="AL95" i="1"/>
  <c r="AL47" i="1"/>
  <c r="R476" i="1"/>
  <c r="AK476" i="1"/>
  <c r="R380" i="1"/>
  <c r="AK380" i="1"/>
  <c r="AK296" i="1"/>
  <c r="AK236" i="1"/>
  <c r="AK463" i="1"/>
  <c r="R379" i="1"/>
  <c r="AK379" i="1"/>
  <c r="R283" i="1"/>
  <c r="AK283" i="1"/>
  <c r="R211" i="1"/>
  <c r="AK211" i="1"/>
  <c r="R139" i="1"/>
  <c r="AK139" i="1"/>
  <c r="R79" i="1"/>
  <c r="AK79" i="1"/>
  <c r="AK486" i="1"/>
  <c r="R402" i="1"/>
  <c r="AK402" i="1"/>
  <c r="R330" i="1"/>
  <c r="AK330" i="1"/>
  <c r="R282" i="1"/>
  <c r="AK282" i="1"/>
  <c r="R222" i="1"/>
  <c r="AK222" i="1"/>
  <c r="R174" i="1"/>
  <c r="AK174" i="1"/>
  <c r="R425" i="1"/>
  <c r="R377" i="1"/>
  <c r="R329" i="1"/>
  <c r="R257" i="1"/>
  <c r="R209" i="1"/>
  <c r="R137" i="1"/>
  <c r="AK446" i="1"/>
  <c r="AK422" i="1"/>
  <c r="AK350" i="1"/>
  <c r="AK302" i="1"/>
  <c r="AK230" i="1"/>
  <c r="AK182" i="1"/>
  <c r="AK134" i="1"/>
  <c r="AK86" i="1"/>
  <c r="AK62" i="1"/>
  <c r="AK27" i="1"/>
  <c r="R501" i="1"/>
  <c r="R489" i="1"/>
  <c r="R453" i="1"/>
  <c r="R429" i="1"/>
  <c r="R417" i="1"/>
  <c r="R393" i="1"/>
  <c r="R357" i="1"/>
  <c r="R333" i="1"/>
  <c r="R321" i="1"/>
  <c r="R297" i="1"/>
  <c r="R285" i="1"/>
  <c r="R273" i="1"/>
  <c r="R249" i="1"/>
  <c r="R225" i="1"/>
  <c r="R213" i="1"/>
  <c r="R201" i="1"/>
  <c r="R177" i="1"/>
  <c r="R153" i="1"/>
  <c r="R141" i="1"/>
  <c r="R129" i="1"/>
  <c r="R117" i="1"/>
  <c r="R105" i="1"/>
  <c r="R81" i="1"/>
  <c r="R69" i="1"/>
  <c r="R45" i="1"/>
  <c r="R34" i="1"/>
  <c r="AK10" i="1"/>
  <c r="R510" i="1"/>
  <c r="R436" i="1"/>
  <c r="R134" i="1"/>
  <c r="R27" i="1"/>
  <c r="AK533" i="1"/>
  <c r="AK521" i="1"/>
  <c r="AK509" i="1"/>
  <c r="AK497" i="1"/>
  <c r="AK484" i="1"/>
  <c r="AK467" i="1"/>
  <c r="AK445" i="1"/>
  <c r="AK424" i="1"/>
  <c r="AK405" i="1"/>
  <c r="AK384" i="1"/>
  <c r="AK352" i="1"/>
  <c r="AK316" i="1"/>
  <c r="AK280" i="1"/>
  <c r="AK244" i="1"/>
  <c r="AK208" i="1"/>
  <c r="AK172" i="1"/>
  <c r="AK136" i="1"/>
  <c r="AK100" i="1"/>
  <c r="AK64" i="1"/>
  <c r="AK29" i="1"/>
  <c r="AK164" i="1"/>
  <c r="AK152" i="1"/>
  <c r="AK140" i="1"/>
  <c r="AK128" i="1"/>
  <c r="AK116" i="1"/>
  <c r="AK104" i="1"/>
  <c r="AK92" i="1"/>
  <c r="AK80" i="1"/>
  <c r="AK68" i="1"/>
  <c r="AK56" i="1"/>
  <c r="AK44" i="1"/>
  <c r="AK33" i="1"/>
  <c r="AK21" i="1"/>
  <c r="AK8" i="1"/>
  <c r="R509" i="1"/>
  <c r="R277" i="1"/>
  <c r="R133" i="1"/>
  <c r="R26" i="1"/>
  <c r="AK532" i="1"/>
  <c r="AK520" i="1"/>
  <c r="AK508" i="1"/>
  <c r="AK496" i="1"/>
  <c r="AK483" i="1"/>
  <c r="AK465" i="1"/>
  <c r="AK444" i="1"/>
  <c r="AK423" i="1"/>
  <c r="AK351" i="1"/>
  <c r="AK315" i="1"/>
  <c r="AK279" i="1"/>
  <c r="AK243" i="1"/>
  <c r="AK207" i="1"/>
  <c r="AK171" i="1"/>
  <c r="AK135" i="1"/>
  <c r="AK99" i="1"/>
  <c r="AK63" i="1"/>
  <c r="AK28" i="1"/>
  <c r="R234" i="1"/>
  <c r="AK234" i="1"/>
  <c r="R114" i="1"/>
  <c r="AK114" i="1"/>
  <c r="AK102" i="1"/>
  <c r="AK90" i="1"/>
  <c r="AK78" i="1"/>
  <c r="AK66" i="1"/>
  <c r="AK54" i="1"/>
  <c r="AK42" i="1"/>
  <c r="AK31" i="1"/>
  <c r="R16" i="1"/>
  <c r="R498" i="1"/>
  <c r="AK518" i="1"/>
  <c r="AK506" i="1"/>
  <c r="AK494" i="1"/>
  <c r="AK460" i="1"/>
  <c r="AK441" i="1"/>
  <c r="AK399" i="1"/>
  <c r="AK377" i="1"/>
  <c r="AK16" i="1"/>
  <c r="R77" i="1"/>
  <c r="R65" i="1"/>
  <c r="R53" i="1"/>
  <c r="R41" i="1"/>
  <c r="R30" i="1"/>
  <c r="R497" i="1"/>
  <c r="R241" i="1"/>
  <c r="AK505" i="1"/>
  <c r="AK493" i="1"/>
  <c r="AK459" i="1"/>
  <c r="AK419" i="1"/>
  <c r="AK397" i="1"/>
  <c r="AK376" i="1"/>
  <c r="AK340" i="1"/>
  <c r="AK304" i="1"/>
  <c r="AK268" i="1"/>
  <c r="AK232" i="1"/>
  <c r="AK196" i="1"/>
  <c r="AK160" i="1"/>
  <c r="AK15" i="1"/>
  <c r="R500" i="1"/>
  <c r="R416" i="1"/>
  <c r="AK416" i="1"/>
  <c r="R320" i="1"/>
  <c r="AK320" i="1"/>
  <c r="AK212" i="1"/>
  <c r="R511" i="1"/>
  <c r="AK439" i="1"/>
  <c r="R343" i="1"/>
  <c r="AK343" i="1"/>
  <c r="R271" i="1"/>
  <c r="AK271" i="1"/>
  <c r="R187" i="1"/>
  <c r="AK187" i="1"/>
  <c r="R127" i="1"/>
  <c r="AK127" i="1"/>
  <c r="R32" i="1"/>
  <c r="AK32" i="1"/>
  <c r="R462" i="1"/>
  <c r="AK462" i="1"/>
  <c r="R390" i="1"/>
  <c r="AK390" i="1"/>
  <c r="R318" i="1"/>
  <c r="AK318" i="1"/>
  <c r="R258" i="1"/>
  <c r="AK258" i="1"/>
  <c r="R150" i="1"/>
  <c r="AK150" i="1"/>
  <c r="R473" i="1"/>
  <c r="R161" i="1"/>
  <c r="R20" i="1"/>
  <c r="AK20" i="1"/>
  <c r="R495" i="1"/>
  <c r="R385" i="1"/>
  <c r="R220" i="1"/>
  <c r="R97" i="1"/>
  <c r="R6" i="1"/>
  <c r="AK492" i="1"/>
  <c r="AK478" i="1"/>
  <c r="AK457" i="1"/>
  <c r="AK436" i="1"/>
  <c r="AK417" i="1"/>
  <c r="AK396" i="1"/>
  <c r="AK375" i="1"/>
  <c r="AK339" i="1"/>
  <c r="AK303" i="1"/>
  <c r="AK267" i="1"/>
  <c r="AK231" i="1"/>
  <c r="AK195" i="1"/>
  <c r="AK159" i="1"/>
  <c r="AK123" i="1"/>
  <c r="AK87" i="1"/>
  <c r="AK51" i="1"/>
  <c r="AK14" i="1"/>
  <c r="R512" i="1"/>
  <c r="AK440" i="1"/>
  <c r="R356" i="1"/>
  <c r="AK356" i="1"/>
  <c r="AK272" i="1"/>
  <c r="AK176" i="1"/>
  <c r="R415" i="1"/>
  <c r="AK415" i="1"/>
  <c r="R319" i="1"/>
  <c r="AK319" i="1"/>
  <c r="R259" i="1"/>
  <c r="AK259" i="1"/>
  <c r="R199" i="1"/>
  <c r="AK199" i="1"/>
  <c r="R151" i="1"/>
  <c r="AK151" i="1"/>
  <c r="R91" i="1"/>
  <c r="AK91" i="1"/>
  <c r="R43" i="1"/>
  <c r="AK43" i="1"/>
  <c r="R113" i="1"/>
  <c r="R534" i="1"/>
  <c r="R486" i="1"/>
  <c r="R350" i="1"/>
  <c r="R95" i="1"/>
  <c r="AK539" i="1"/>
  <c r="AK527" i="1"/>
  <c r="AK503" i="1"/>
  <c r="AK491" i="1"/>
  <c r="AK477" i="1"/>
  <c r="AK435" i="1"/>
  <c r="AK395" i="1"/>
  <c r="AK369" i="1"/>
  <c r="AK333" i="1"/>
  <c r="AK297" i="1"/>
  <c r="AK261" i="1"/>
  <c r="AK225" i="1"/>
  <c r="AK189" i="1"/>
  <c r="AK153" i="1"/>
  <c r="AK117" i="1"/>
  <c r="AK81" i="1"/>
  <c r="AK45" i="1"/>
  <c r="R367" i="1"/>
  <c r="AK367" i="1"/>
  <c r="R198" i="1"/>
  <c r="AK198" i="1"/>
  <c r="R341" i="1"/>
  <c r="AK386" i="1"/>
  <c r="R533" i="1"/>
  <c r="R484" i="1"/>
  <c r="AK473" i="1"/>
  <c r="AK412" i="1"/>
  <c r="AK393" i="1"/>
  <c r="AK329" i="1"/>
  <c r="AK257" i="1"/>
  <c r="AK113" i="1"/>
  <c r="AK77" i="1"/>
  <c r="AK7" i="1"/>
  <c r="AK452" i="1"/>
  <c r="R392" i="1"/>
  <c r="AK392" i="1"/>
  <c r="AK308" i="1"/>
  <c r="AK200" i="1"/>
  <c r="AK451" i="1"/>
  <c r="R391" i="1"/>
  <c r="AK391" i="1"/>
  <c r="R295" i="1"/>
  <c r="AK295" i="1"/>
  <c r="R235" i="1"/>
  <c r="AK235" i="1"/>
  <c r="R163" i="1"/>
  <c r="AK163" i="1"/>
  <c r="R103" i="1"/>
  <c r="AK103" i="1"/>
  <c r="R55" i="1"/>
  <c r="AK55" i="1"/>
  <c r="R474" i="1"/>
  <c r="AK474" i="1"/>
  <c r="R414" i="1"/>
  <c r="AK414" i="1"/>
  <c r="R342" i="1"/>
  <c r="AK342" i="1"/>
  <c r="R246" i="1"/>
  <c r="AK246" i="1"/>
  <c r="R138" i="1"/>
  <c r="AK138" i="1"/>
  <c r="R485" i="1"/>
  <c r="R413" i="1"/>
  <c r="R353" i="1"/>
  <c r="R281" i="1"/>
  <c r="R233" i="1"/>
  <c r="R149" i="1"/>
  <c r="AK470" i="1"/>
  <c r="AK374" i="1"/>
  <c r="AK314" i="1"/>
  <c r="AK266" i="1"/>
  <c r="AK218" i="1"/>
  <c r="AK158" i="1"/>
  <c r="AK110" i="1"/>
  <c r="AK50" i="1"/>
  <c r="R373" i="1"/>
  <c r="AK373" i="1"/>
  <c r="R361" i="1"/>
  <c r="AK361" i="1"/>
  <c r="R337" i="1"/>
  <c r="AK337" i="1"/>
  <c r="R301" i="1"/>
  <c r="AK301" i="1"/>
  <c r="R265" i="1"/>
  <c r="AK265" i="1"/>
  <c r="R253" i="1"/>
  <c r="AK253" i="1"/>
  <c r="R229" i="1"/>
  <c r="AK229" i="1"/>
  <c r="R193" i="1"/>
  <c r="AK193" i="1"/>
  <c r="R181" i="1"/>
  <c r="AK181" i="1"/>
  <c r="R157" i="1"/>
  <c r="AK157" i="1"/>
  <c r="R121" i="1"/>
  <c r="AK121" i="1"/>
  <c r="R109" i="1"/>
  <c r="AK109" i="1"/>
  <c r="R73" i="1"/>
  <c r="AK73" i="1"/>
  <c r="R37" i="1"/>
  <c r="AK37" i="1"/>
  <c r="R531" i="1"/>
  <c r="R328" i="1"/>
  <c r="R184" i="1"/>
  <c r="R62" i="1"/>
  <c r="AK513" i="1"/>
  <c r="AK501" i="1"/>
  <c r="AK489" i="1"/>
  <c r="AK472" i="1"/>
  <c r="AK453" i="1"/>
  <c r="AK411" i="1"/>
  <c r="AK364" i="1"/>
  <c r="AK328" i="1"/>
  <c r="AK292" i="1"/>
  <c r="AK256" i="1"/>
  <c r="AK220" i="1"/>
  <c r="AK184" i="1"/>
  <c r="AK148" i="1"/>
  <c r="AK112" i="1"/>
  <c r="AK76" i="1"/>
  <c r="AK40" i="1"/>
  <c r="AK6" i="1"/>
  <c r="AK464" i="1"/>
  <c r="AK368" i="1"/>
  <c r="AK284" i="1"/>
  <c r="AK248" i="1"/>
  <c r="R355" i="1"/>
  <c r="AK355" i="1"/>
  <c r="AK17" i="1"/>
  <c r="R426" i="1"/>
  <c r="AK426" i="1"/>
  <c r="R354" i="1"/>
  <c r="AK354" i="1"/>
  <c r="R306" i="1"/>
  <c r="AK306" i="1"/>
  <c r="R210" i="1"/>
  <c r="AK210" i="1"/>
  <c r="R126" i="1"/>
  <c r="AK126" i="1"/>
  <c r="R461" i="1"/>
  <c r="R389" i="1"/>
  <c r="R317" i="1"/>
  <c r="R269" i="1"/>
  <c r="R197" i="1"/>
  <c r="R125" i="1"/>
  <c r="AK434" i="1"/>
  <c r="AK362" i="1"/>
  <c r="AK290" i="1"/>
  <c r="AK242" i="1"/>
  <c r="AK206" i="1"/>
  <c r="AK146" i="1"/>
  <c r="AK98" i="1"/>
  <c r="AK74" i="1"/>
  <c r="AK38" i="1"/>
  <c r="R538" i="1"/>
  <c r="R526" i="1"/>
  <c r="R522" i="1"/>
  <c r="R469" i="1"/>
  <c r="R314" i="1"/>
  <c r="R61" i="1"/>
  <c r="AK512" i="1"/>
  <c r="AK500" i="1"/>
  <c r="AK471" i="1"/>
  <c r="AK431" i="1"/>
  <c r="AK409" i="1"/>
  <c r="AK388" i="1"/>
  <c r="AK363" i="1"/>
  <c r="AK327" i="1"/>
  <c r="AK291" i="1"/>
  <c r="AK255" i="1"/>
  <c r="AK219" i="1"/>
  <c r="AK183" i="1"/>
  <c r="AK147" i="1"/>
  <c r="AK111" i="1"/>
  <c r="AK75" i="1"/>
  <c r="AK39" i="1"/>
  <c r="R428" i="1"/>
  <c r="AK428" i="1"/>
  <c r="R344" i="1"/>
  <c r="AK344" i="1"/>
  <c r="AK260" i="1"/>
  <c r="AK188" i="1"/>
  <c r="R427" i="1"/>
  <c r="AK427" i="1"/>
  <c r="R331" i="1"/>
  <c r="AK331" i="1"/>
  <c r="R247" i="1"/>
  <c r="AK247" i="1"/>
  <c r="R175" i="1"/>
  <c r="AK175" i="1"/>
  <c r="R115" i="1"/>
  <c r="AK115" i="1"/>
  <c r="R67" i="1"/>
  <c r="AK67" i="1"/>
  <c r="R450" i="1"/>
  <c r="AK450" i="1"/>
  <c r="R366" i="1"/>
  <c r="AK366" i="1"/>
  <c r="R294" i="1"/>
  <c r="AK294" i="1"/>
  <c r="R186" i="1"/>
  <c r="AK186" i="1"/>
  <c r="R437" i="1"/>
  <c r="R365" i="1"/>
  <c r="R305" i="1"/>
  <c r="R245" i="1"/>
  <c r="R185" i="1"/>
  <c r="R89" i="1"/>
  <c r="AK458" i="1"/>
  <c r="AK398" i="1"/>
  <c r="AK338" i="1"/>
  <c r="AK278" i="1"/>
  <c r="AK194" i="1"/>
  <c r="AK122" i="1"/>
  <c r="R359" i="1"/>
  <c r="AK359" i="1"/>
  <c r="R323" i="1"/>
  <c r="AK323" i="1"/>
  <c r="R155" i="1"/>
  <c r="AK155" i="1"/>
  <c r="R107" i="1"/>
  <c r="AK107" i="1"/>
  <c r="R537" i="1"/>
  <c r="R525" i="1"/>
  <c r="R468" i="1"/>
  <c r="R313" i="1"/>
  <c r="R169" i="1"/>
  <c r="R59" i="1"/>
  <c r="AK535" i="1"/>
  <c r="AK523" i="1"/>
  <c r="AK511" i="1"/>
  <c r="AK499" i="1"/>
  <c r="AK487" i="1"/>
  <c r="AK448" i="1"/>
  <c r="AK429" i="1"/>
  <c r="AK387" i="1"/>
  <c r="AK357" i="1"/>
  <c r="AK321" i="1"/>
  <c r="AK285" i="1"/>
  <c r="AK249" i="1"/>
  <c r="AK213" i="1"/>
  <c r="AK177" i="1"/>
  <c r="AK141" i="1"/>
  <c r="AK105" i="1"/>
  <c r="AK69" i="1"/>
  <c r="AK34" i="1"/>
  <c r="R488" i="1"/>
  <c r="R404" i="1"/>
  <c r="AK404" i="1"/>
  <c r="AK332" i="1"/>
  <c r="AK224" i="1"/>
  <c r="R475" i="1"/>
  <c r="AK475" i="1"/>
  <c r="R403" i="1"/>
  <c r="AK403" i="1"/>
  <c r="R307" i="1"/>
  <c r="AK307" i="1"/>
  <c r="R223" i="1"/>
  <c r="AK223" i="1"/>
  <c r="R438" i="1"/>
  <c r="AK438" i="1"/>
  <c r="R378" i="1"/>
  <c r="AK378" i="1"/>
  <c r="R270" i="1"/>
  <c r="AK270" i="1"/>
  <c r="R162" i="1"/>
  <c r="AK162" i="1"/>
  <c r="R449" i="1"/>
  <c r="R401" i="1"/>
  <c r="R293" i="1"/>
  <c r="R221" i="1"/>
  <c r="R173" i="1"/>
  <c r="R101" i="1"/>
  <c r="AK482" i="1"/>
  <c r="AK410" i="1"/>
  <c r="AK326" i="1"/>
  <c r="AK254" i="1"/>
  <c r="AK170" i="1"/>
  <c r="R502" i="1"/>
  <c r="AK466" i="1"/>
  <c r="AK454" i="1"/>
  <c r="AK442" i="1"/>
  <c r="R430" i="1"/>
  <c r="AK430" i="1"/>
  <c r="AK418" i="1"/>
  <c r="AK406" i="1"/>
  <c r="R394" i="1"/>
  <c r="AK394" i="1"/>
  <c r="AK382" i="1"/>
  <c r="AK370" i="1"/>
  <c r="AK358" i="1"/>
  <c r="AK346" i="1"/>
  <c r="AK334" i="1"/>
  <c r="AK322" i="1"/>
  <c r="AK310" i="1"/>
  <c r="AK298" i="1"/>
  <c r="AK286" i="1"/>
  <c r="AK274" i="1"/>
  <c r="AK262" i="1"/>
  <c r="AK250" i="1"/>
  <c r="AK238" i="1"/>
  <c r="AK226" i="1"/>
  <c r="AK214" i="1"/>
  <c r="AK202" i="1"/>
  <c r="AK190" i="1"/>
  <c r="AK178" i="1"/>
  <c r="AK166" i="1"/>
  <c r="AK154" i="1"/>
  <c r="AK142" i="1"/>
  <c r="AK130" i="1"/>
  <c r="AK118" i="1"/>
  <c r="AK106" i="1"/>
  <c r="AK94" i="1"/>
  <c r="AK82" i="1"/>
  <c r="AK70" i="1"/>
  <c r="AK58" i="1"/>
  <c r="AK46" i="1"/>
  <c r="AK35" i="1"/>
  <c r="AK23" i="1"/>
  <c r="R536" i="1"/>
  <c r="R524" i="1"/>
  <c r="R519" i="1"/>
  <c r="R439" i="1"/>
  <c r="R292" i="1"/>
  <c r="R148" i="1"/>
  <c r="R40" i="1"/>
  <c r="AK534" i="1"/>
  <c r="AK522" i="1"/>
  <c r="AK510" i="1"/>
  <c r="AK498" i="1"/>
  <c r="AK485" i="1"/>
  <c r="AK447" i="1"/>
  <c r="AK425" i="1"/>
  <c r="AK353" i="1"/>
  <c r="AK317" i="1"/>
  <c r="AK281" i="1"/>
  <c r="AK245" i="1"/>
  <c r="AK209" i="1"/>
  <c r="AK173" i="1"/>
  <c r="AK137" i="1"/>
  <c r="AK101" i="1"/>
  <c r="AK65" i="1"/>
  <c r="AK30" i="1"/>
  <c r="R535" i="1"/>
  <c r="R523" i="1"/>
  <c r="R499" i="1"/>
  <c r="R487" i="1"/>
  <c r="R470" i="1"/>
  <c r="R455" i="1"/>
  <c r="R440" i="1"/>
  <c r="R422" i="1"/>
  <c r="R407" i="1"/>
  <c r="R388" i="1"/>
  <c r="R371" i="1"/>
  <c r="R352" i="1"/>
  <c r="R335" i="1"/>
  <c r="R316" i="1"/>
  <c r="R299" i="1"/>
  <c r="R280" i="1"/>
  <c r="R263" i="1"/>
  <c r="R244" i="1"/>
  <c r="R227" i="1"/>
  <c r="R208" i="1"/>
  <c r="R191" i="1"/>
  <c r="R172" i="1"/>
  <c r="R136" i="1"/>
  <c r="R119" i="1"/>
  <c r="R100" i="1"/>
  <c r="R83" i="1"/>
  <c r="R64" i="1"/>
  <c r="R47" i="1"/>
  <c r="R29" i="1"/>
  <c r="R8" i="1"/>
  <c r="R532" i="1"/>
  <c r="R520" i="1"/>
  <c r="R508" i="1"/>
  <c r="R496" i="1"/>
  <c r="R482" i="1"/>
  <c r="R467" i="1"/>
  <c r="R452" i="1"/>
  <c r="R434" i="1"/>
  <c r="R419" i="1"/>
  <c r="R384" i="1"/>
  <c r="R368" i="1"/>
  <c r="R348" i="1"/>
  <c r="R332" i="1"/>
  <c r="R312" i="1"/>
  <c r="R296" i="1"/>
  <c r="R276" i="1"/>
  <c r="R260" i="1"/>
  <c r="R240" i="1"/>
  <c r="R224" i="1"/>
  <c r="R204" i="1"/>
  <c r="R188" i="1"/>
  <c r="R168" i="1"/>
  <c r="R152" i="1"/>
  <c r="R132" i="1"/>
  <c r="R116" i="1"/>
  <c r="R96" i="1"/>
  <c r="R80" i="1"/>
  <c r="R60" i="1"/>
  <c r="R44" i="1"/>
  <c r="R25" i="1"/>
  <c r="R466" i="1"/>
  <c r="R451" i="1"/>
  <c r="R418" i="1"/>
  <c r="R400" i="1"/>
  <c r="R383" i="1"/>
  <c r="R364" i="1"/>
  <c r="R347" i="1"/>
  <c r="R311" i="1"/>
  <c r="R275" i="1"/>
  <c r="R239" i="1"/>
  <c r="R203" i="1"/>
  <c r="R167" i="1"/>
  <c r="R454" i="1"/>
  <c r="R226" i="1"/>
  <c r="R190" i="1"/>
  <c r="R118" i="1"/>
  <c r="R82" i="1"/>
  <c r="R46" i="1"/>
  <c r="R17" i="1"/>
  <c r="R102" i="1"/>
  <c r="R90" i="1"/>
  <c r="R78" i="1"/>
  <c r="R66" i="1"/>
  <c r="R54" i="1"/>
  <c r="R42" i="1"/>
  <c r="R31" i="1"/>
  <c r="R530" i="1"/>
  <c r="R518" i="1"/>
  <c r="R506" i="1"/>
  <c r="R494" i="1"/>
  <c r="R480" i="1"/>
  <c r="R465" i="1"/>
  <c r="R448" i="1"/>
  <c r="R432" i="1"/>
  <c r="R398" i="1"/>
  <c r="R382" i="1"/>
  <c r="R362" i="1"/>
  <c r="R346" i="1"/>
  <c r="R326" i="1"/>
  <c r="R310" i="1"/>
  <c r="R290" i="1"/>
  <c r="R274" i="1"/>
  <c r="R254" i="1"/>
  <c r="R238" i="1"/>
  <c r="R218" i="1"/>
  <c r="R202" i="1"/>
  <c r="R182" i="1"/>
  <c r="R166" i="1"/>
  <c r="R146" i="1"/>
  <c r="R130" i="1"/>
  <c r="R110" i="1"/>
  <c r="R94" i="1"/>
  <c r="R74" i="1"/>
  <c r="R58" i="1"/>
  <c r="R38" i="1"/>
  <c r="R23" i="1"/>
  <c r="R405" i="1"/>
  <c r="R261" i="1"/>
  <c r="R189" i="1"/>
  <c r="AK5" i="1"/>
  <c r="R5" i="1"/>
  <c r="R517" i="1"/>
  <c r="R479" i="1"/>
  <c r="R464" i="1"/>
  <c r="R446" i="1"/>
  <c r="R381" i="1"/>
  <c r="R345" i="1"/>
  <c r="R325" i="1"/>
  <c r="R309" i="1"/>
  <c r="R289" i="1"/>
  <c r="R237" i="1"/>
  <c r="R217" i="1"/>
  <c r="R165" i="1"/>
  <c r="R145" i="1"/>
  <c r="R93" i="1"/>
  <c r="R57" i="1"/>
  <c r="R406" i="1"/>
  <c r="R370" i="1"/>
  <c r="R154" i="1"/>
  <c r="R369" i="1"/>
  <c r="R7" i="1"/>
  <c r="R14" i="1"/>
  <c r="R528" i="1"/>
  <c r="R516" i="1"/>
  <c r="R504" i="1"/>
  <c r="R492" i="1"/>
  <c r="R478" i="1"/>
  <c r="R463" i="1"/>
  <c r="R445" i="1"/>
  <c r="R396" i="1"/>
  <c r="R360" i="1"/>
  <c r="R324" i="1"/>
  <c r="R308" i="1"/>
  <c r="R288" i="1"/>
  <c r="R272" i="1"/>
  <c r="R252" i="1"/>
  <c r="R236" i="1"/>
  <c r="R216" i="1"/>
  <c r="R200" i="1"/>
  <c r="R180" i="1"/>
  <c r="R164" i="1"/>
  <c r="R144" i="1"/>
  <c r="R128" i="1"/>
  <c r="R108" i="1"/>
  <c r="R92" i="1"/>
  <c r="R72" i="1"/>
  <c r="R56" i="1"/>
  <c r="R36" i="1"/>
  <c r="R21" i="1"/>
  <c r="R334" i="1"/>
  <c r="R298" i="1"/>
  <c r="R262" i="1"/>
  <c r="R9" i="1"/>
  <c r="R483" i="1"/>
  <c r="R471" i="1"/>
  <c r="R459" i="1"/>
  <c r="R447" i="1"/>
  <c r="R435" i="1"/>
  <c r="R423" i="1"/>
  <c r="R411" i="1"/>
  <c r="R399" i="1"/>
  <c r="R387" i="1"/>
  <c r="R375" i="1"/>
  <c r="R363" i="1"/>
  <c r="R351" i="1"/>
  <c r="R339" i="1"/>
  <c r="R327" i="1"/>
  <c r="R315" i="1"/>
  <c r="R303" i="1"/>
  <c r="R291" i="1"/>
  <c r="R279" i="1"/>
  <c r="R267" i="1"/>
  <c r="R255" i="1"/>
  <c r="R243" i="1"/>
  <c r="R231" i="1"/>
  <c r="R219" i="1"/>
  <c r="R207" i="1"/>
  <c r="R195" i="1"/>
  <c r="R183" i="1"/>
  <c r="R171" i="1"/>
  <c r="R159" i="1"/>
  <c r="R147" i="1"/>
  <c r="R135" i="1"/>
  <c r="R123" i="1"/>
  <c r="R111" i="1"/>
  <c r="R99" i="1"/>
  <c r="R87" i="1"/>
  <c r="R75" i="1"/>
  <c r="R63" i="1"/>
  <c r="R51" i="1"/>
  <c r="R39" i="1"/>
  <c r="R28" i="1"/>
  <c r="R515" i="1"/>
  <c r="R477" i="1"/>
  <c r="R460" i="1"/>
  <c r="R444" i="1"/>
  <c r="R412" i="1"/>
  <c r="R376" i="1"/>
  <c r="R340" i="1"/>
  <c r="R304" i="1"/>
  <c r="R287" i="1"/>
  <c r="R268" i="1"/>
  <c r="R251" i="1"/>
  <c r="R232" i="1"/>
  <c r="R215" i="1"/>
  <c r="R196" i="1"/>
  <c r="R179" i="1"/>
  <c r="R160" i="1"/>
  <c r="R143" i="1"/>
  <c r="R124" i="1"/>
  <c r="R88" i="1"/>
  <c r="R71" i="1"/>
  <c r="R52" i="1"/>
  <c r="R15" i="1"/>
  <c r="R514" i="1"/>
  <c r="R490" i="1"/>
  <c r="R458" i="1"/>
  <c r="R443" i="1"/>
  <c r="R410" i="1"/>
  <c r="R374" i="1"/>
  <c r="R358" i="1"/>
  <c r="R338" i="1"/>
  <c r="R322" i="1"/>
  <c r="R302" i="1"/>
  <c r="R286" i="1"/>
  <c r="R266" i="1"/>
  <c r="R250" i="1"/>
  <c r="R230" i="1"/>
  <c r="R214" i="1"/>
  <c r="R194" i="1"/>
  <c r="R178" i="1"/>
  <c r="R158" i="1"/>
  <c r="R142" i="1"/>
  <c r="R122" i="1"/>
  <c r="R106" i="1"/>
  <c r="R86" i="1"/>
  <c r="R70" i="1"/>
  <c r="R50" i="1"/>
  <c r="R35" i="1"/>
  <c r="R513" i="1"/>
  <c r="R442" i="1"/>
  <c r="R85" i="1"/>
  <c r="R49" i="1"/>
  <c r="R472" i="1"/>
  <c r="R456" i="1"/>
  <c r="R441" i="1"/>
  <c r="R424" i="1"/>
  <c r="R408" i="1"/>
  <c r="R372" i="1"/>
  <c r="R336" i="1"/>
  <c r="R300" i="1"/>
  <c r="R284" i="1"/>
  <c r="R264" i="1"/>
  <c r="R248" i="1"/>
  <c r="R228" i="1"/>
  <c r="R212" i="1"/>
  <c r="R192" i="1"/>
  <c r="R176" i="1"/>
  <c r="R156" i="1"/>
  <c r="R140" i="1"/>
  <c r="R120" i="1"/>
  <c r="R104" i="1"/>
  <c r="R84" i="1"/>
  <c r="R68" i="1"/>
  <c r="R48" i="1"/>
  <c r="R33" i="1"/>
  <c r="U40" i="2" l="1"/>
  <c r="E20" i="1"/>
  <c r="C41" i="2"/>
  <c r="D17" i="1"/>
  <c r="H41" i="2"/>
  <c r="K40" i="2"/>
  <c r="U41" i="2" l="1"/>
  <c r="E27" i="1"/>
  <c r="E28" i="1"/>
  <c r="E31" i="1" s="1"/>
  <c r="U44" i="2" s="1"/>
  <c r="E32" i="1"/>
  <c r="D22" i="1"/>
  <c r="D26" i="1"/>
  <c r="E40" i="2"/>
  <c r="U43" i="2" l="1"/>
  <c r="U42" i="2"/>
  <c r="H42" i="2"/>
  <c r="C42" i="2"/>
  <c r="E33" i="1"/>
  <c r="E569" i="1" s="1"/>
  <c r="D27" i="1"/>
  <c r="F42" i="2"/>
  <c r="L42" i="2"/>
  <c r="K42" i="2"/>
  <c r="J42" i="2"/>
  <c r="I42" i="2"/>
  <c r="G42" i="2"/>
  <c r="F41" i="2"/>
  <c r="G41" i="2"/>
  <c r="L41" i="2"/>
  <c r="K41" i="2"/>
  <c r="J41" i="2"/>
  <c r="I41" i="2"/>
  <c r="D41" i="2"/>
  <c r="E41" i="2"/>
  <c r="C40" i="2"/>
  <c r="D40" i="2"/>
  <c r="U46" i="2" l="1"/>
  <c r="U45"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D28" i="1"/>
  <c r="E42" i="2"/>
  <c r="D42" i="2"/>
  <c r="D29" i="1" l="1"/>
  <c r="D30" i="1"/>
  <c r="D31" i="1" l="1"/>
  <c r="D32" i="1" l="1"/>
  <c r="F44" i="2" s="1"/>
  <c r="O40" i="2"/>
  <c r="R40" i="2"/>
  <c r="Q40" i="2"/>
  <c r="S40" i="2"/>
  <c r="W40" i="2"/>
  <c r="P40" i="2"/>
  <c r="R41" i="2"/>
  <c r="H50" i="2" l="1"/>
  <c r="H89" i="2"/>
  <c r="H71" i="2"/>
  <c r="H84" i="2"/>
  <c r="C47" i="2"/>
  <c r="C53" i="2"/>
  <c r="C78" i="2"/>
  <c r="C46" i="2"/>
  <c r="H62" i="2"/>
  <c r="C74" i="2"/>
  <c r="C71" i="2"/>
  <c r="H78" i="2"/>
  <c r="H73" i="2"/>
  <c r="H65" i="2"/>
  <c r="H49" i="2"/>
  <c r="C58" i="2"/>
  <c r="H72" i="2"/>
  <c r="C48" i="2"/>
  <c r="C50" i="2"/>
  <c r="C49" i="2"/>
  <c r="C70" i="2"/>
  <c r="C68" i="2"/>
  <c r="C77" i="2"/>
  <c r="C72" i="2"/>
  <c r="H61" i="2"/>
  <c r="H59" i="2"/>
  <c r="H45" i="2"/>
  <c r="C44" i="2"/>
  <c r="C59" i="2"/>
  <c r="H55" i="2"/>
  <c r="H91" i="2"/>
  <c r="H75" i="2"/>
  <c r="H47" i="2"/>
  <c r="H63" i="2"/>
  <c r="H51" i="2"/>
  <c r="G16" i="1"/>
  <c r="H67" i="2"/>
  <c r="H57" i="2"/>
  <c r="C45" i="2"/>
  <c r="C63" i="2"/>
  <c r="H79" i="2"/>
  <c r="C51" i="2"/>
  <c r="H76" i="2"/>
  <c r="C64" i="2"/>
  <c r="H54" i="2"/>
  <c r="C67" i="2"/>
  <c r="H80" i="2"/>
  <c r="I44" i="2"/>
  <c r="H60" i="2"/>
  <c r="H74" i="2"/>
  <c r="C62" i="2"/>
  <c r="C60" i="2"/>
  <c r="C79" i="2"/>
  <c r="H44" i="2"/>
  <c r="H56" i="2"/>
  <c r="H70" i="2"/>
  <c r="C54" i="2"/>
  <c r="H64" i="2"/>
  <c r="K44" i="2"/>
  <c r="C65" i="2"/>
  <c r="H77" i="2"/>
  <c r="H85" i="2"/>
  <c r="H69" i="2"/>
  <c r="H66" i="2"/>
  <c r="H86" i="2"/>
  <c r="C75" i="2"/>
  <c r="H81" i="2"/>
  <c r="C73" i="2"/>
  <c r="H46" i="2"/>
  <c r="H92" i="2"/>
  <c r="H82" i="2"/>
  <c r="C56" i="2"/>
  <c r="C55" i="2"/>
  <c r="H48" i="2"/>
  <c r="H68" i="2"/>
  <c r="G44" i="2"/>
  <c r="H53" i="2"/>
  <c r="H90" i="2"/>
  <c r="C76" i="2"/>
  <c r="D44" i="2"/>
  <c r="H87" i="2"/>
  <c r="C69" i="2"/>
  <c r="C57" i="2"/>
  <c r="H83" i="2"/>
  <c r="C66" i="2"/>
  <c r="L44" i="2"/>
  <c r="D43" i="2"/>
  <c r="E43" i="2"/>
  <c r="G43" i="2"/>
  <c r="L43" i="2"/>
  <c r="K43" i="2"/>
  <c r="J43" i="2"/>
  <c r="F43" i="2"/>
  <c r="I43" i="2"/>
  <c r="C43" i="2"/>
  <c r="H43" i="2"/>
  <c r="E44" i="2"/>
  <c r="H58" i="2"/>
  <c r="J44" i="2"/>
  <c r="C61" i="2"/>
  <c r="C52" i="2"/>
  <c r="H52" i="2"/>
  <c r="H88" i="2"/>
  <c r="L45" i="2"/>
  <c r="K45" i="2"/>
  <c r="J45" i="2"/>
  <c r="F45" i="2"/>
  <c r="E45" i="2"/>
  <c r="D45" i="2"/>
  <c r="I45" i="2"/>
  <c r="G45" i="2"/>
  <c r="W41" i="2"/>
  <c r="S41" i="2"/>
  <c r="O41" i="2"/>
  <c r="V40" i="2"/>
  <c r="T41" i="2"/>
  <c r="P41" i="2"/>
  <c r="Q41" i="2"/>
  <c r="T42" i="2"/>
  <c r="G46" i="2" l="1"/>
  <c r="V41" i="2"/>
  <c r="O42" i="2"/>
  <c r="S42" i="2"/>
  <c r="W42" i="2"/>
  <c r="P42" i="2"/>
  <c r="R42" i="2"/>
  <c r="Q42" i="2"/>
  <c r="R62" i="2"/>
  <c r="I64" i="2" l="1"/>
  <c r="I65" i="2"/>
  <c r="G119" i="2"/>
  <c r="E100" i="2"/>
  <c r="I59" i="2"/>
  <c r="G55" i="2"/>
  <c r="K82" i="2"/>
  <c r="K64" i="2"/>
  <c r="L100" i="2"/>
  <c r="O75" i="2"/>
  <c r="L64" i="2"/>
  <c r="E104" i="2"/>
  <c r="L79" i="2"/>
  <c r="C87" i="2"/>
  <c r="E59" i="2"/>
  <c r="I50" i="2"/>
  <c r="I80" i="2"/>
  <c r="O83" i="2"/>
  <c r="F108" i="2"/>
  <c r="L124" i="2"/>
  <c r="D68" i="2"/>
  <c r="G122" i="2"/>
  <c r="E80" i="2"/>
  <c r="F61" i="2"/>
  <c r="E69" i="2"/>
  <c r="H95" i="2"/>
  <c r="H130" i="2"/>
  <c r="L74" i="2"/>
  <c r="D79" i="2"/>
  <c r="K87" i="2"/>
  <c r="L120" i="2"/>
  <c r="E102" i="2"/>
  <c r="E101" i="2"/>
  <c r="G51" i="2"/>
  <c r="I83" i="2"/>
  <c r="L46" i="2"/>
  <c r="D63" i="2"/>
  <c r="K62" i="2"/>
  <c r="D99" i="2"/>
  <c r="K117" i="2"/>
  <c r="L108" i="2"/>
  <c r="D77" i="2"/>
  <c r="E48" i="2"/>
  <c r="I94" i="2"/>
  <c r="L55" i="2"/>
  <c r="L80" i="2"/>
  <c r="K100" i="2"/>
  <c r="K110" i="2"/>
  <c r="G69" i="2"/>
  <c r="C86" i="2"/>
  <c r="O79" i="2"/>
  <c r="C81" i="2"/>
  <c r="K97" i="2"/>
  <c r="K115" i="2"/>
  <c r="F67" i="2"/>
  <c r="C91" i="2"/>
  <c r="G91" i="2"/>
  <c r="H126" i="2"/>
  <c r="G102" i="2"/>
  <c r="G125" i="2"/>
  <c r="C97" i="2"/>
  <c r="G72" i="2"/>
  <c r="G47" i="2"/>
  <c r="D59" i="2"/>
  <c r="H109" i="2"/>
  <c r="I47" i="2"/>
  <c r="L77" i="2"/>
  <c r="D67" i="2"/>
  <c r="E82" i="2"/>
  <c r="I100" i="2"/>
  <c r="K54" i="2"/>
  <c r="G59" i="2"/>
  <c r="G93" i="2"/>
  <c r="E46" i="2"/>
  <c r="O73" i="2"/>
  <c r="G77" i="2"/>
  <c r="I96" i="2"/>
  <c r="J96" i="2"/>
  <c r="G96" i="2"/>
  <c r="I70" i="2"/>
  <c r="C95" i="2"/>
  <c r="O86" i="2"/>
  <c r="J48" i="2"/>
  <c r="D76" i="2"/>
  <c r="F92" i="2"/>
  <c r="K79" i="2"/>
  <c r="D82" i="2"/>
  <c r="L50" i="2"/>
  <c r="D73" i="2"/>
  <c r="F83" i="2"/>
  <c r="H103" i="2"/>
  <c r="K104" i="2"/>
  <c r="I61" i="2"/>
  <c r="I55" i="2"/>
  <c r="H99" i="2"/>
  <c r="F62" i="2"/>
  <c r="F82" i="2"/>
  <c r="L103" i="2"/>
  <c r="G49" i="2"/>
  <c r="F105" i="2"/>
  <c r="F60" i="2"/>
  <c r="K46" i="2"/>
  <c r="G120" i="2"/>
  <c r="I105" i="2"/>
  <c r="G52" i="2"/>
  <c r="J107" i="2"/>
  <c r="E93" i="2"/>
  <c r="F107" i="2"/>
  <c r="F77" i="2"/>
  <c r="J53" i="2"/>
  <c r="K52" i="2"/>
  <c r="G132" i="2"/>
  <c r="K98" i="2"/>
  <c r="L90" i="2"/>
  <c r="D75" i="2"/>
  <c r="O84" i="2"/>
  <c r="I68" i="2"/>
  <c r="C88" i="2"/>
  <c r="J63" i="2"/>
  <c r="J76" i="2"/>
  <c r="D105" i="2"/>
  <c r="G88" i="2"/>
  <c r="D70" i="2"/>
  <c r="K88" i="2"/>
  <c r="K58" i="2"/>
  <c r="E76" i="2"/>
  <c r="G104" i="2"/>
  <c r="I52" i="2"/>
  <c r="E47" i="2"/>
  <c r="G80" i="2"/>
  <c r="E58" i="2"/>
  <c r="D52" i="2"/>
  <c r="I69" i="2"/>
  <c r="F80" i="2"/>
  <c r="G84" i="2"/>
  <c r="J56" i="2"/>
  <c r="J51" i="2"/>
  <c r="F56" i="2"/>
  <c r="G81" i="2"/>
  <c r="G109" i="2"/>
  <c r="K57" i="2"/>
  <c r="J86" i="2"/>
  <c r="G108" i="2"/>
  <c r="E86" i="2"/>
  <c r="F63" i="2"/>
  <c r="F95" i="2"/>
  <c r="G133" i="2"/>
  <c r="G126" i="2"/>
  <c r="D97" i="2"/>
  <c r="L71" i="2"/>
  <c r="J77" i="2"/>
  <c r="E51" i="2"/>
  <c r="K92" i="2"/>
  <c r="C100" i="2"/>
  <c r="F50" i="2"/>
  <c r="H118" i="2"/>
  <c r="K84" i="2"/>
  <c r="E61" i="2"/>
  <c r="L99" i="2"/>
  <c r="L49" i="2"/>
  <c r="G113" i="2"/>
  <c r="G79" i="2"/>
  <c r="E81" i="2"/>
  <c r="L105" i="2"/>
  <c r="K76" i="2"/>
  <c r="J88" i="2"/>
  <c r="D85" i="2"/>
  <c r="H119" i="2"/>
  <c r="K53" i="2"/>
  <c r="D103" i="2"/>
  <c r="G50" i="2"/>
  <c r="J91" i="2"/>
  <c r="E62" i="2"/>
  <c r="F100" i="2"/>
  <c r="G70" i="2"/>
  <c r="L101" i="2"/>
  <c r="I102" i="2"/>
  <c r="G86" i="2"/>
  <c r="E96" i="2"/>
  <c r="K102" i="2"/>
  <c r="H128" i="2"/>
  <c r="J50" i="2"/>
  <c r="O93" i="2"/>
  <c r="I104" i="2"/>
  <c r="K91" i="2"/>
  <c r="F102" i="2"/>
  <c r="F84" i="2"/>
  <c r="E56" i="2"/>
  <c r="J85" i="2"/>
  <c r="D66" i="2"/>
  <c r="G117" i="2"/>
  <c r="D51" i="2"/>
  <c r="D102" i="2"/>
  <c r="K116" i="2"/>
  <c r="J78" i="2"/>
  <c r="O99" i="2"/>
  <c r="K77" i="2"/>
  <c r="K111" i="2"/>
  <c r="I106" i="2"/>
  <c r="D49" i="2"/>
  <c r="H116" i="2"/>
  <c r="F114" i="2"/>
  <c r="K65" i="2"/>
  <c r="L94" i="2"/>
  <c r="L47" i="2"/>
  <c r="K70" i="2"/>
  <c r="L58" i="2"/>
  <c r="K112" i="2"/>
  <c r="L85" i="2"/>
  <c r="L114" i="2"/>
  <c r="H121" i="2"/>
  <c r="L48" i="2"/>
  <c r="F75" i="2"/>
  <c r="J49" i="2"/>
  <c r="G129" i="2"/>
  <c r="L72" i="2"/>
  <c r="K122" i="2"/>
  <c r="F85" i="2"/>
  <c r="O76" i="2"/>
  <c r="F46" i="2"/>
  <c r="O94" i="2"/>
  <c r="E79" i="2"/>
  <c r="I56" i="2"/>
  <c r="E99" i="2"/>
  <c r="L121" i="2"/>
  <c r="L87" i="2"/>
  <c r="L53" i="2"/>
  <c r="F87" i="2"/>
  <c r="L113" i="2"/>
  <c r="D56" i="2"/>
  <c r="E92" i="2"/>
  <c r="G124" i="2"/>
  <c r="F98" i="2"/>
  <c r="J62" i="2"/>
  <c r="O87" i="2"/>
  <c r="D64" i="2"/>
  <c r="H115" i="2"/>
  <c r="I54" i="2"/>
  <c r="F97" i="2"/>
  <c r="E77" i="2"/>
  <c r="D93" i="2"/>
  <c r="G58" i="2"/>
  <c r="G114" i="2"/>
  <c r="C101" i="2"/>
  <c r="K56" i="2"/>
  <c r="J73" i="2"/>
  <c r="L112" i="2"/>
  <c r="D58" i="2"/>
  <c r="J105" i="2"/>
  <c r="D61" i="2"/>
  <c r="G60" i="2"/>
  <c r="G65" i="2"/>
  <c r="L111" i="2"/>
  <c r="K94" i="2"/>
  <c r="C93" i="2"/>
  <c r="L61" i="2"/>
  <c r="G107" i="2"/>
  <c r="F88" i="2"/>
  <c r="J95" i="2"/>
  <c r="J80" i="2"/>
  <c r="I86" i="2"/>
  <c r="J67" i="2"/>
  <c r="G62" i="2"/>
  <c r="F71" i="2"/>
  <c r="L123" i="2"/>
  <c r="I81" i="2"/>
  <c r="L116" i="2"/>
  <c r="J100" i="2"/>
  <c r="E55" i="2"/>
  <c r="E78" i="2"/>
  <c r="F93" i="2"/>
  <c r="F112" i="2"/>
  <c r="I95" i="2"/>
  <c r="E94" i="2"/>
  <c r="E66" i="2"/>
  <c r="D92" i="2"/>
  <c r="L122" i="2"/>
  <c r="L70" i="2"/>
  <c r="J101" i="2"/>
  <c r="I51" i="2"/>
  <c r="J59" i="2"/>
  <c r="E64" i="2"/>
  <c r="K63" i="2"/>
  <c r="G112" i="2"/>
  <c r="F52" i="2"/>
  <c r="J83" i="2"/>
  <c r="H117" i="2"/>
  <c r="G85" i="2"/>
  <c r="K121" i="2"/>
  <c r="J79" i="2"/>
  <c r="C83" i="2"/>
  <c r="C85" i="2"/>
  <c r="K48" i="2"/>
  <c r="G121" i="2"/>
  <c r="L73" i="2"/>
  <c r="E85" i="2"/>
  <c r="G64" i="2"/>
  <c r="G57" i="2"/>
  <c r="I62" i="2"/>
  <c r="J102" i="2"/>
  <c r="O77" i="2"/>
  <c r="L60" i="2"/>
  <c r="J82" i="2"/>
  <c r="G68" i="2"/>
  <c r="F96" i="2"/>
  <c r="K124" i="2"/>
  <c r="L110" i="2"/>
  <c r="G92" i="2"/>
  <c r="K130" i="2"/>
  <c r="D86" i="2"/>
  <c r="G53" i="2"/>
  <c r="C98" i="2"/>
  <c r="H122" i="2"/>
  <c r="J69" i="2"/>
  <c r="L78" i="2"/>
  <c r="C82" i="2"/>
  <c r="O95" i="2"/>
  <c r="K60" i="2"/>
  <c r="E107" i="2"/>
  <c r="L82" i="2"/>
  <c r="K67" i="2"/>
  <c r="H114" i="2"/>
  <c r="H125" i="2"/>
  <c r="O91" i="2"/>
  <c r="I85" i="2"/>
  <c r="H120" i="2"/>
  <c r="F66" i="2"/>
  <c r="G130" i="2"/>
  <c r="H93" i="2"/>
  <c r="K119" i="2"/>
  <c r="G103" i="2"/>
  <c r="G61" i="2"/>
  <c r="F69" i="2"/>
  <c r="F78" i="2"/>
  <c r="F74" i="2"/>
  <c r="K126" i="2"/>
  <c r="K89" i="2"/>
  <c r="I75" i="2"/>
  <c r="G76" i="2"/>
  <c r="F113" i="2"/>
  <c r="F55" i="2"/>
  <c r="G48" i="2"/>
  <c r="O97" i="2"/>
  <c r="E73" i="2"/>
  <c r="K66" i="2"/>
  <c r="F76" i="2"/>
  <c r="L93" i="2"/>
  <c r="O98" i="2"/>
  <c r="F89" i="2"/>
  <c r="J93" i="2"/>
  <c r="I77" i="2"/>
  <c r="E83" i="2"/>
  <c r="J104" i="2"/>
  <c r="H131" i="2"/>
  <c r="D104" i="2"/>
  <c r="K123" i="2"/>
  <c r="O96" i="2"/>
  <c r="D87" i="2"/>
  <c r="D80" i="2"/>
  <c r="G78" i="2"/>
  <c r="K72" i="2"/>
  <c r="K129" i="2"/>
  <c r="D83" i="2"/>
  <c r="I67" i="2"/>
  <c r="E90" i="2"/>
  <c r="G106" i="2"/>
  <c r="G73" i="2"/>
  <c r="G89" i="2"/>
  <c r="F103" i="2"/>
  <c r="F51" i="2"/>
  <c r="L69" i="2"/>
  <c r="I63" i="2"/>
  <c r="O69" i="2"/>
  <c r="E63" i="2"/>
  <c r="D98" i="2"/>
  <c r="I107" i="2"/>
  <c r="K132" i="2"/>
  <c r="F86" i="2"/>
  <c r="J74" i="2"/>
  <c r="L91" i="2"/>
  <c r="J103" i="2"/>
  <c r="E54" i="2"/>
  <c r="O81" i="2"/>
  <c r="J60" i="2"/>
  <c r="H104" i="2"/>
  <c r="C80" i="2"/>
  <c r="J72" i="2"/>
  <c r="L96" i="2"/>
  <c r="K107" i="2"/>
  <c r="E70" i="2"/>
  <c r="D62" i="2"/>
  <c r="D84" i="2"/>
  <c r="G131" i="2"/>
  <c r="D55" i="2"/>
  <c r="H97" i="2"/>
  <c r="E98" i="2"/>
  <c r="H127" i="2"/>
  <c r="F70" i="2"/>
  <c r="D74" i="2"/>
  <c r="E71" i="2"/>
  <c r="L81" i="2"/>
  <c r="G71" i="2"/>
  <c r="E60" i="2"/>
  <c r="K125" i="2"/>
  <c r="F53" i="2"/>
  <c r="D94" i="2"/>
  <c r="D50" i="2"/>
  <c r="J46" i="2"/>
  <c r="H102" i="2"/>
  <c r="L118" i="2"/>
  <c r="C92" i="2"/>
  <c r="I93" i="2"/>
  <c r="E87" i="2"/>
  <c r="D101" i="2"/>
  <c r="J94" i="2"/>
  <c r="L102" i="2"/>
  <c r="E65" i="2"/>
  <c r="L86" i="2"/>
  <c r="D53" i="2"/>
  <c r="E84" i="2"/>
  <c r="K109" i="2"/>
  <c r="L51" i="2"/>
  <c r="G128" i="2"/>
  <c r="I91" i="2"/>
  <c r="E67" i="2"/>
  <c r="I53" i="2"/>
  <c r="H108" i="2"/>
  <c r="K69" i="2"/>
  <c r="H101" i="2"/>
  <c r="K59" i="2"/>
  <c r="K93" i="2"/>
  <c r="H100" i="2"/>
  <c r="J64" i="2"/>
  <c r="K128" i="2"/>
  <c r="I101" i="2"/>
  <c r="F90" i="2"/>
  <c r="H107" i="2"/>
  <c r="K74" i="2"/>
  <c r="J52" i="2"/>
  <c r="D48" i="2"/>
  <c r="O71" i="2"/>
  <c r="J65" i="2"/>
  <c r="G110" i="2"/>
  <c r="F48" i="2"/>
  <c r="L97" i="2"/>
  <c r="K106" i="2"/>
  <c r="D100" i="2"/>
  <c r="J90" i="2"/>
  <c r="G74" i="2"/>
  <c r="H106" i="2"/>
  <c r="G105" i="2"/>
  <c r="J61" i="2"/>
  <c r="L66" i="2"/>
  <c r="J92" i="2"/>
  <c r="L76" i="2"/>
  <c r="D96" i="2"/>
  <c r="D81" i="2"/>
  <c r="J106" i="2"/>
  <c r="K51" i="2"/>
  <c r="L107" i="2"/>
  <c r="D72" i="2"/>
  <c r="H110" i="2"/>
  <c r="L57" i="2"/>
  <c r="L62" i="2"/>
  <c r="I48" i="2"/>
  <c r="J75" i="2"/>
  <c r="E68" i="2"/>
  <c r="O74" i="2"/>
  <c r="J47" i="2"/>
  <c r="K81" i="2"/>
  <c r="K131" i="2"/>
  <c r="J68" i="2"/>
  <c r="G123" i="2"/>
  <c r="E88" i="2"/>
  <c r="G97" i="2"/>
  <c r="J54" i="2"/>
  <c r="K71" i="2"/>
  <c r="E105" i="2"/>
  <c r="I98" i="2"/>
  <c r="G67" i="2"/>
  <c r="I71" i="2"/>
  <c r="K120" i="2"/>
  <c r="E74" i="2"/>
  <c r="F99" i="2"/>
  <c r="G90" i="2"/>
  <c r="F81" i="2"/>
  <c r="C94" i="2"/>
  <c r="I72" i="2"/>
  <c r="F68" i="2"/>
  <c r="L117" i="2"/>
  <c r="E103" i="2"/>
  <c r="I99" i="2"/>
  <c r="C96" i="2"/>
  <c r="L89" i="2"/>
  <c r="O90" i="2"/>
  <c r="G95" i="2"/>
  <c r="O80" i="2"/>
  <c r="K103" i="2"/>
  <c r="K49" i="2"/>
  <c r="K113" i="2"/>
  <c r="G116" i="2"/>
  <c r="L109" i="2"/>
  <c r="K96" i="2"/>
  <c r="I78" i="2"/>
  <c r="C99" i="2"/>
  <c r="L95" i="2"/>
  <c r="C102" i="2"/>
  <c r="K75" i="2"/>
  <c r="J97" i="2"/>
  <c r="I103" i="2"/>
  <c r="D95" i="2"/>
  <c r="O72" i="2"/>
  <c r="K61" i="2"/>
  <c r="I58" i="2"/>
  <c r="O92" i="2"/>
  <c r="E89" i="2"/>
  <c r="G56" i="2"/>
  <c r="K83" i="2"/>
  <c r="I60" i="2"/>
  <c r="F72" i="2"/>
  <c r="F59" i="2"/>
  <c r="G99" i="2"/>
  <c r="K108" i="2"/>
  <c r="C90" i="2"/>
  <c r="F94" i="2"/>
  <c r="K114" i="2"/>
  <c r="H111" i="2"/>
  <c r="F49" i="2"/>
  <c r="G54" i="2"/>
  <c r="L59" i="2"/>
  <c r="E106" i="2"/>
  <c r="D65" i="2"/>
  <c r="D71" i="2"/>
  <c r="K80" i="2"/>
  <c r="F47" i="2"/>
  <c r="O78" i="2"/>
  <c r="F109" i="2"/>
  <c r="F106" i="2"/>
  <c r="I87" i="2"/>
  <c r="J87" i="2"/>
  <c r="I46" i="2"/>
  <c r="D69" i="2"/>
  <c r="L98" i="2"/>
  <c r="O70" i="2"/>
  <c r="I97" i="2"/>
  <c r="L67" i="2"/>
  <c r="I66" i="2"/>
  <c r="K90" i="2"/>
  <c r="G83" i="2"/>
  <c r="K95" i="2"/>
  <c r="L75" i="2"/>
  <c r="J70" i="2"/>
  <c r="K85" i="2"/>
  <c r="K133" i="2"/>
  <c r="O85" i="2"/>
  <c r="H123" i="2"/>
  <c r="K47" i="2"/>
  <c r="D47" i="2"/>
  <c r="E91" i="2"/>
  <c r="D46" i="2"/>
  <c r="D54" i="2"/>
  <c r="I90" i="2"/>
  <c r="G118" i="2"/>
  <c r="I76" i="2"/>
  <c r="F111" i="2"/>
  <c r="F104" i="2"/>
  <c r="G63" i="2"/>
  <c r="J89" i="2"/>
  <c r="E50" i="2"/>
  <c r="L119" i="2"/>
  <c r="C84" i="2"/>
  <c r="F58" i="2"/>
  <c r="K99" i="2"/>
  <c r="K105" i="2"/>
  <c r="K68" i="2"/>
  <c r="G87" i="2"/>
  <c r="D106" i="2"/>
  <c r="K50" i="2"/>
  <c r="J55" i="2"/>
  <c r="I88" i="2"/>
  <c r="K86" i="2"/>
  <c r="G98" i="2"/>
  <c r="L54" i="2"/>
  <c r="F65" i="2"/>
  <c r="L115" i="2"/>
  <c r="O68" i="2"/>
  <c r="D78" i="2"/>
  <c r="J98" i="2"/>
  <c r="G75" i="2"/>
  <c r="I49" i="2"/>
  <c r="H112" i="2"/>
  <c r="L84" i="2"/>
  <c r="K78" i="2"/>
  <c r="E75" i="2"/>
  <c r="I73" i="2"/>
  <c r="O82" i="2"/>
  <c r="I79" i="2"/>
  <c r="H113" i="2"/>
  <c r="I57" i="2"/>
  <c r="L106" i="2"/>
  <c r="K127" i="2"/>
  <c r="I74" i="2"/>
  <c r="F79" i="2"/>
  <c r="O88" i="2"/>
  <c r="K73" i="2"/>
  <c r="G94" i="2"/>
  <c r="F57" i="2"/>
  <c r="L52" i="2"/>
  <c r="J84" i="2"/>
  <c r="L68" i="2"/>
  <c r="K118" i="2"/>
  <c r="F91" i="2"/>
  <c r="C89" i="2"/>
  <c r="F110" i="2"/>
  <c r="L65" i="2"/>
  <c r="E49" i="2"/>
  <c r="F54" i="2"/>
  <c r="D91" i="2"/>
  <c r="I89" i="2"/>
  <c r="E52" i="2"/>
  <c r="D57" i="2"/>
  <c r="E97" i="2"/>
  <c r="G115" i="2"/>
  <c r="L92" i="2"/>
  <c r="J58" i="2"/>
  <c r="F64" i="2"/>
  <c r="D89" i="2"/>
  <c r="K55" i="2"/>
  <c r="H124" i="2"/>
  <c r="G100" i="2"/>
  <c r="E53" i="2"/>
  <c r="D60" i="2"/>
  <c r="E95" i="2"/>
  <c r="L56" i="2"/>
  <c r="L88" i="2"/>
  <c r="F73" i="2"/>
  <c r="H105" i="2"/>
  <c r="V57" i="2"/>
  <c r="P83" i="2"/>
  <c r="S75" i="2"/>
  <c r="O59" i="2"/>
  <c r="P62" i="2"/>
  <c r="R75" i="2"/>
  <c r="P65" i="2"/>
  <c r="V85" i="2"/>
  <c r="W77" i="2"/>
  <c r="R95" i="2"/>
  <c r="O53" i="2"/>
  <c r="R57" i="2"/>
  <c r="R99" i="2"/>
  <c r="R58" i="2"/>
  <c r="T61" i="2"/>
  <c r="O63" i="2"/>
  <c r="W91" i="2"/>
  <c r="W94" i="2"/>
  <c r="T74" i="2"/>
  <c r="V95" i="2"/>
  <c r="S80" i="2"/>
  <c r="V63" i="2"/>
  <c r="R65" i="2"/>
  <c r="O47" i="2"/>
  <c r="V58" i="2"/>
  <c r="V90" i="2"/>
  <c r="T77" i="2"/>
  <c r="O52" i="2"/>
  <c r="V56" i="2"/>
  <c r="R72" i="2"/>
  <c r="P93" i="2"/>
  <c r="P56" i="2"/>
  <c r="R56" i="2"/>
  <c r="W52" i="2"/>
  <c r="Q70" i="2"/>
  <c r="P78" i="2"/>
  <c r="Q73" i="2"/>
  <c r="Q85" i="2"/>
  <c r="P73" i="2"/>
  <c r="R78" i="2"/>
  <c r="Q80" i="2"/>
  <c r="Q65" i="2"/>
  <c r="T52" i="2"/>
  <c r="Q69" i="2"/>
  <c r="V86" i="2"/>
  <c r="S84" i="2"/>
  <c r="R81" i="2"/>
  <c r="V84" i="2"/>
  <c r="O58" i="2"/>
  <c r="W97" i="2"/>
  <c r="S48" i="2"/>
  <c r="R53" i="2"/>
  <c r="Q50" i="2"/>
  <c r="V98" i="2"/>
  <c r="S59" i="2"/>
  <c r="Q91" i="2"/>
  <c r="R54" i="2"/>
  <c r="R48" i="2"/>
  <c r="R84" i="2"/>
  <c r="R83" i="2"/>
  <c r="Q53" i="2"/>
  <c r="P71" i="2"/>
  <c r="W71" i="2"/>
  <c r="P47" i="2"/>
  <c r="T59" i="2"/>
  <c r="P80" i="2"/>
  <c r="V83" i="2"/>
  <c r="Q89" i="2"/>
  <c r="W57" i="2"/>
  <c r="W61" i="2"/>
  <c r="W99" i="2"/>
  <c r="Q90" i="2"/>
  <c r="R66" i="2"/>
  <c r="P70" i="2"/>
  <c r="V70" i="2"/>
  <c r="T57" i="2"/>
  <c r="P96" i="2"/>
  <c r="R97" i="2"/>
  <c r="S57" i="2"/>
  <c r="T86" i="2"/>
  <c r="P58" i="2"/>
  <c r="Q44" i="2"/>
  <c r="V82" i="2"/>
  <c r="S66" i="2"/>
  <c r="W43" i="2"/>
  <c r="T58" i="2"/>
  <c r="Q54" i="2"/>
  <c r="S49" i="2"/>
  <c r="R96" i="2"/>
  <c r="W80" i="2"/>
  <c r="Q56" i="2"/>
  <c r="T98" i="2"/>
  <c r="V97" i="2"/>
  <c r="R68" i="2"/>
  <c r="Q55" i="2"/>
  <c r="T97" i="2"/>
  <c r="S97" i="2"/>
  <c r="V87" i="2"/>
  <c r="S70" i="2"/>
  <c r="S76" i="2"/>
  <c r="T82" i="2"/>
  <c r="W67" i="2"/>
  <c r="T60" i="2"/>
  <c r="T93" i="2"/>
  <c r="W70" i="2"/>
  <c r="W74" i="2"/>
  <c r="T83" i="2"/>
  <c r="S54" i="2"/>
  <c r="T87" i="2"/>
  <c r="W68" i="2"/>
  <c r="P52" i="2"/>
  <c r="W64" i="2"/>
  <c r="P50" i="2"/>
  <c r="T70" i="2"/>
  <c r="W47" i="2"/>
  <c r="P67" i="2"/>
  <c r="P74" i="2"/>
  <c r="V47" i="2"/>
  <c r="R94" i="2"/>
  <c r="Q79" i="2"/>
  <c r="W51" i="2"/>
  <c r="R70" i="2"/>
  <c r="P84" i="2"/>
  <c r="Q75" i="2"/>
  <c r="T78" i="2"/>
  <c r="W48" i="2"/>
  <c r="R51" i="2"/>
  <c r="R47" i="2"/>
  <c r="Q63" i="2"/>
  <c r="P59" i="2"/>
  <c r="S68" i="2"/>
  <c r="S67" i="2"/>
  <c r="Q58" i="2"/>
  <c r="G101" i="2"/>
  <c r="T40" i="2"/>
  <c r="S98" i="2"/>
  <c r="V67" i="2"/>
  <c r="P79" i="2"/>
  <c r="O44" i="2"/>
  <c r="O51" i="2"/>
  <c r="T80" i="2"/>
  <c r="V49" i="2"/>
  <c r="S55" i="2"/>
  <c r="V65" i="2"/>
  <c r="T51" i="2"/>
  <c r="Q43" i="2"/>
  <c r="Q78" i="2"/>
  <c r="O65" i="2"/>
  <c r="P54" i="2"/>
  <c r="W72" i="2"/>
  <c r="W75" i="2"/>
  <c r="W78" i="2"/>
  <c r="P51" i="2"/>
  <c r="P99" i="2"/>
  <c r="T92" i="2"/>
  <c r="O43" i="2"/>
  <c r="P57" i="2"/>
  <c r="R52" i="2"/>
  <c r="O64" i="2"/>
  <c r="Q81" i="2"/>
  <c r="P49" i="2"/>
  <c r="R50" i="2"/>
  <c r="P68" i="2"/>
  <c r="V68" i="2"/>
  <c r="Q77" i="2"/>
  <c r="R86" i="2"/>
  <c r="S43" i="2"/>
  <c r="S47" i="2"/>
  <c r="T79" i="2"/>
  <c r="S71" i="2"/>
  <c r="O67" i="2"/>
  <c r="P86" i="2"/>
  <c r="R93" i="2"/>
  <c r="S77" i="2"/>
  <c r="S89" i="2"/>
  <c r="W85" i="2"/>
  <c r="Q57" i="2"/>
  <c r="T66" i="2"/>
  <c r="S88" i="2"/>
  <c r="V48" i="2"/>
  <c r="R69" i="2"/>
  <c r="P92" i="2"/>
  <c r="S86" i="2"/>
  <c r="S78" i="2"/>
  <c r="S87" i="2"/>
  <c r="W93" i="2"/>
  <c r="S85" i="2"/>
  <c r="S82" i="2"/>
  <c r="W49" i="2"/>
  <c r="O48" i="2"/>
  <c r="R89" i="2"/>
  <c r="R49" i="2"/>
  <c r="V75" i="2"/>
  <c r="T68" i="2"/>
  <c r="Q52" i="2"/>
  <c r="P43" i="2"/>
  <c r="S51" i="2"/>
  <c r="W89" i="2"/>
  <c r="O57" i="2"/>
  <c r="S50" i="2"/>
  <c r="W96" i="2"/>
  <c r="Q64" i="2"/>
  <c r="T55" i="2"/>
  <c r="Q84" i="2"/>
  <c r="W95" i="2"/>
  <c r="O56" i="2"/>
  <c r="R87" i="2"/>
  <c r="W69" i="2"/>
  <c r="W87" i="2"/>
  <c r="V60" i="2"/>
  <c r="T72" i="2"/>
  <c r="W88" i="2"/>
  <c r="W76" i="2"/>
  <c r="V76" i="2"/>
  <c r="R73" i="2"/>
  <c r="Q83" i="2"/>
  <c r="T50" i="2"/>
  <c r="Q59" i="2"/>
  <c r="Q72" i="2"/>
  <c r="T88" i="2"/>
  <c r="V50" i="2"/>
  <c r="W63" i="2"/>
  <c r="T90" i="2"/>
  <c r="P72" i="2"/>
  <c r="S79" i="2"/>
  <c r="O62" i="2"/>
  <c r="V94" i="2"/>
  <c r="V78" i="2"/>
  <c r="S95" i="2"/>
  <c r="V53" i="2"/>
  <c r="V42" i="2"/>
  <c r="R88" i="2"/>
  <c r="V92" i="2"/>
  <c r="S92" i="2"/>
  <c r="R43" i="2"/>
  <c r="R79" i="2"/>
  <c r="P64" i="2"/>
  <c r="S81" i="2"/>
  <c r="W54" i="2"/>
  <c r="V64" i="2"/>
  <c r="Q49" i="2"/>
  <c r="T96" i="2"/>
  <c r="S99" i="2"/>
  <c r="R55" i="2"/>
  <c r="W65" i="2"/>
  <c r="V96" i="2"/>
  <c r="W98" i="2"/>
  <c r="S65" i="2"/>
  <c r="T64" i="2"/>
  <c r="W50" i="2"/>
  <c r="P55" i="2"/>
  <c r="V77" i="2"/>
  <c r="T43" i="2"/>
  <c r="S74" i="2"/>
  <c r="T89" i="2"/>
  <c r="S44" i="2"/>
  <c r="P90" i="2"/>
  <c r="S96" i="2"/>
  <c r="T67" i="2"/>
  <c r="V93" i="2"/>
  <c r="S69" i="2"/>
  <c r="R90" i="2"/>
  <c r="T85" i="2"/>
  <c r="V43" i="2"/>
  <c r="T73" i="2"/>
  <c r="W53" i="2"/>
  <c r="Q76" i="2"/>
  <c r="P85" i="2"/>
  <c r="S64" i="2"/>
  <c r="R77" i="2"/>
  <c r="P89" i="2"/>
  <c r="O54" i="2"/>
  <c r="V91" i="2"/>
  <c r="W84" i="2"/>
  <c r="Q61" i="2"/>
  <c r="P53" i="2"/>
  <c r="R76" i="2"/>
  <c r="W44" i="2"/>
  <c r="P88" i="2"/>
  <c r="R71" i="2"/>
  <c r="T49" i="2"/>
  <c r="W62" i="2"/>
  <c r="O60" i="2"/>
  <c r="P76" i="2"/>
  <c r="S58" i="2"/>
  <c r="P91" i="2"/>
  <c r="P61" i="2"/>
  <c r="S94" i="2"/>
  <c r="V89" i="2"/>
  <c r="S91" i="2"/>
  <c r="W73" i="2"/>
  <c r="V61" i="2"/>
  <c r="O66" i="2"/>
  <c r="S93" i="2"/>
  <c r="P44" i="2"/>
  <c r="V52" i="2"/>
  <c r="O55" i="2"/>
  <c r="R63" i="2"/>
  <c r="Q82" i="2"/>
  <c r="V69" i="2"/>
  <c r="S62" i="2"/>
  <c r="R44" i="2"/>
  <c r="R98" i="2"/>
  <c r="R80" i="2"/>
  <c r="V51" i="2"/>
  <c r="V80" i="2"/>
  <c r="V73" i="2"/>
  <c r="W86" i="2"/>
  <c r="P75" i="2"/>
  <c r="R60" i="2"/>
  <c r="V55" i="2"/>
  <c r="T44" i="2"/>
  <c r="S61" i="2"/>
  <c r="T81" i="2"/>
  <c r="W66" i="2"/>
  <c r="W56" i="2"/>
  <c r="S56" i="2"/>
  <c r="V79" i="2"/>
  <c r="T76" i="2"/>
  <c r="O50" i="2"/>
  <c r="P69" i="2"/>
  <c r="P66" i="2"/>
  <c r="W81" i="2"/>
  <c r="T75" i="2"/>
  <c r="T56" i="2"/>
  <c r="Q51" i="2"/>
  <c r="W79" i="2"/>
  <c r="V46" i="2"/>
  <c r="S72" i="2"/>
  <c r="V59" i="2"/>
  <c r="P87" i="2"/>
  <c r="P81" i="2"/>
  <c r="V99" i="2"/>
  <c r="Q74" i="2"/>
  <c r="R92" i="2"/>
  <c r="Q71" i="2"/>
  <c r="R64" i="2"/>
  <c r="R85" i="2"/>
  <c r="Q60" i="2"/>
  <c r="R59" i="2"/>
  <c r="P94" i="2"/>
  <c r="W83" i="2"/>
  <c r="V71" i="2"/>
  <c r="Q62" i="2"/>
  <c r="O61" i="2"/>
  <c r="P98" i="2"/>
  <c r="W55" i="2"/>
  <c r="T69" i="2"/>
  <c r="R74" i="2"/>
  <c r="R45" i="2"/>
  <c r="P45" i="2"/>
  <c r="V44" i="2"/>
  <c r="O45" i="2"/>
  <c r="T45" i="2"/>
  <c r="S45" i="2"/>
  <c r="Q45" i="2"/>
  <c r="W45" i="2"/>
  <c r="Q46" i="2"/>
  <c r="P46" i="2"/>
  <c r="S46" i="2"/>
  <c r="W46" i="2"/>
  <c r="V45" i="2"/>
  <c r="R46" i="2"/>
  <c r="T46" i="2"/>
  <c r="O46" i="2"/>
  <c r="T62" i="2"/>
  <c r="Q47" i="2"/>
  <c r="T47" i="2"/>
  <c r="T84" i="2"/>
  <c r="W92" i="2"/>
  <c r="R91" i="2"/>
  <c r="T48" i="2"/>
  <c r="W82" i="2"/>
  <c r="P95" i="2"/>
  <c r="R61" i="2"/>
  <c r="S53" i="2"/>
  <c r="P77" i="2"/>
  <c r="Q87" i="2"/>
  <c r="V72" i="2"/>
  <c r="Q48" i="2"/>
  <c r="P60" i="2"/>
  <c r="T99" i="2"/>
  <c r="S90" i="2"/>
  <c r="P97" i="2"/>
  <c r="O49" i="2"/>
  <c r="P63" i="2"/>
  <c r="R82" i="2"/>
  <c r="V62" i="2"/>
  <c r="V66" i="2"/>
  <c r="S83" i="2"/>
  <c r="Q86" i="2"/>
  <c r="V74" i="2"/>
  <c r="T53" i="2"/>
  <c r="W90" i="2"/>
  <c r="T71" i="2"/>
  <c r="W59" i="2"/>
  <c r="T95" i="2"/>
  <c r="W60" i="2"/>
  <c r="T54" i="2"/>
  <c r="W58" i="2"/>
  <c r="T63" i="2"/>
  <c r="Q68" i="2"/>
  <c r="V54" i="2"/>
  <c r="S63" i="2"/>
  <c r="P82" i="2"/>
  <c r="Q88" i="2"/>
  <c r="P48" i="2"/>
  <c r="T91" i="2"/>
  <c r="R67" i="2"/>
  <c r="Q67" i="2"/>
  <c r="T94" i="2"/>
  <c r="V88" i="2"/>
  <c r="S73" i="2"/>
  <c r="Q66" i="2"/>
  <c r="T65" i="2"/>
  <c r="V81" i="2"/>
  <c r="S52" i="2"/>
  <c r="S60" i="2"/>
  <c r="E72" i="2" l="1"/>
  <c r="I82" i="2"/>
  <c r="G127" i="2"/>
  <c r="E57" i="2"/>
  <c r="G111" i="2"/>
  <c r="G66" i="2"/>
  <c r="L83" i="2"/>
  <c r="F101" i="2"/>
  <c r="H98" i="2"/>
  <c r="J71" i="2"/>
  <c r="G82" i="2"/>
  <c r="J99" i="2"/>
  <c r="H94" i="2"/>
  <c r="O89" i="2"/>
  <c r="J57" i="2"/>
  <c r="H96" i="2"/>
  <c r="I84" i="2"/>
  <c r="F115" i="2"/>
  <c r="L104" i="2"/>
  <c r="J66" i="2"/>
  <c r="D90" i="2"/>
  <c r="J81" i="2"/>
  <c r="I92" i="2"/>
  <c r="D88" i="2"/>
  <c r="L63" i="2"/>
  <c r="K101" i="2"/>
  <c r="H129" i="2"/>
  <c r="AA29" i="1"/>
  <c r="AA32" i="1"/>
  <c r="AA16" i="1"/>
  <c r="Y3" i="18"/>
  <c r="AA30" i="1"/>
  <c r="AA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tc={AABE6324-ECBE-49A5-A7B7-B9B5DC469326}</author>
    <author>tc={ABD9861F-6E8C-4E45-8B74-9F28D127E512}</author>
    <author>tc={52A64CFC-A52D-4A1E-BD68-D5120C23704F}</author>
    <author>tc={10EE8E62-B68F-4610-A194-B214B704BB4A}</author>
    <author>tc={89B5EB77-E399-41CB-99AE-3DBDFFFE5BBD}</author>
    <author>tc={A369D8B3-6EE5-4947-8317-983E7511F180}</author>
    <author>tc={DF38E823-47AC-4A1D-AD49-F259A042E2A5}</author>
    <author>tc={76AF0A22-3D89-49F5-8A1B-A72C5B6E2DBC}</author>
    <author>tc={92FAED17-1C5D-4E09-914B-2C4C63EF09C7}</author>
  </authors>
  <commentList>
    <comment ref="J4" authorId="0" shapeId="0" xr:uid="{AABE6324-ECBE-49A5-A7B7-B9B5DC469326}">
      <text>
        <t xml:space="preserve">[Threaded comment]
Your version of Excel allows you to read this threaded comment; however, any edits to it will get removed if the file is opened in a newer version of Excel. Learn more: https://go.microsoft.com/fwlink/?linkid=870924
Comment:
    The Location of the Piece </t>
      </text>
    </comment>
    <comment ref="K4" authorId="1" shapeId="0" xr:uid="{ABD9861F-6E8C-4E45-8B74-9F28D127E512}">
      <text>
        <t>[Threaded comment]
Your version of Excel allows you to read this threaded comment; however, any edits to it will get removed if the file is opened in a newer version of Excel. Learn more: https://go.microsoft.com/fwlink/?linkid=870924
Comment:
    The location of the Sale ( if the sell was made BTQ or E-com)</t>
      </text>
    </comment>
    <comment ref="L4" authorId="2" shapeId="0" xr:uid="{52A64CFC-A52D-4A1E-BD68-D5120C23704F}">
      <text>
        <t xml:space="preserve">[Threaded comment]
Your version of Excel allows you to read this threaded comment; however, any edits to it will get removed if the file is opened in a newer version of Excel. Learn more: https://go.microsoft.com/fwlink/?linkid=870924
Comment:
    Important </t>
      </text>
    </comment>
    <comment ref="M4" authorId="3" shapeId="0" xr:uid="{10EE8E62-B68F-4610-A194-B214B704BB4A}">
      <text>
        <t>[Threaded comment]
Your version of Excel allows you to read this threaded comment; however, any edits to it will get removed if the file is opened in a newer version of Excel. Learn more: https://go.microsoft.com/fwlink/?linkid=870924
Comment:
    Select High only incase the timpiease is available and the client will do the payment</t>
      </text>
    </comment>
    <comment ref="U4" authorId="4" shapeId="0" xr:uid="{89B5EB77-E399-41CB-99AE-3DBDFFFE5BBD}">
      <text>
        <t>[Threaded comment]
Your version of Excel allows you to read this threaded comment; however, any edits to it will get removed if the file is opened in a newer version of Excel. Learn more: https://go.microsoft.com/fwlink/?linkid=870924
Comment:
    Open Means : still in communications  with Client but the watch is available 
Reply:
    Pending means: we still waiting for the timepiece to be reallocated or still the request under review</t>
      </text>
    </comment>
    <comment ref="AI4" authorId="5" shapeId="0" xr:uid="{A369D8B3-6EE5-4947-8317-983E7511F180}">
      <text>
        <t xml:space="preserve">[Threaded comment]
Your version of Excel allows you to read this threaded comment; however, any edits to it will get removed if the file is opened in a newer version of Excel. Learn more: https://go.microsoft.com/fwlink/?linkid=870924
Comment:
    This is date of entry </t>
      </text>
    </comment>
    <comment ref="AJ4" authorId="6" shapeId="0" xr:uid="{DF38E823-47AC-4A1D-AD49-F259A042E2A5}">
      <text>
        <t>[Threaded comment]
Your version of Excel allows you to read this threaded comment; however, any edits to it will get removed if the file is opened in a newer version of Excel. Learn more: https://go.microsoft.com/fwlink/?linkid=870924
Comment:
    This is only for the high potential sales only</t>
      </text>
    </comment>
    <comment ref="M5" authorId="7" shapeId="0" xr:uid="{76AF0A22-3D89-49F5-8A1B-A72C5B6E2DBC}">
      <text>
        <t>[Threaded comment]
Your version of Excel allows you to read this threaded comment; however, any edits to it will get removed if the file is opened in a newer version of Excel. Learn more: https://go.microsoft.com/fwlink/?linkid=870924
Comment:
    end of May</t>
      </text>
    </comment>
    <comment ref="AG15" authorId="8" shapeId="0" xr:uid="{92FAED17-1C5D-4E09-914B-2C4C63EF09C7}">
      <text>
        <t xml:space="preserve">[Threaded comment]
Your version of Excel allows you to read this threaded comment; however, any edits to it will get removed if the file is opened in a newer version of Excel. Learn more: https://go.microsoft.com/fwlink/?linkid=870924
Comment:
    4/8/2025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tc={886921ED-C7A4-4508-AC1B-96CA8D6BDB6E}</author>
  </authors>
  <commentList>
    <comment ref="L2" authorId="0" shapeId="0" xr:uid="{886921ED-C7A4-4508-AC1B-96CA8D6BDB6E}">
      <text>
        <t xml:space="preserve">[Threaded comment]
Your version of Excel allows you to read this threaded comment; however, any edits to it will get removed if the file is opened in a newer version of Excel. Learn more: https://go.microsoft.com/fwlink/?linkid=870924
Comment:
    Double check  the QTY per Ref - Sap , BTQ.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5558B3-E967-4A64-B557-3FC5C64BF3A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3910A7C-603C-4392-9589-9DD556F9ABF0}" name="WorksheetConnection_CRC - Sellout Plan  2025.xlsm!OpenPendingCases" type="102" refreshedVersion="8" minRefreshableVersion="5">
    <extLst>
      <ext xmlns:x15="http://schemas.microsoft.com/office/spreadsheetml/2010/11/main" uri="{DE250136-89BD-433C-8126-D09CA5730AF9}">
        <x15:connection id="OpenPendingCases">
          <x15:rangePr sourceName="_xlcn.WorksheetConnection_CRCSelloutPlan2025.xlsmOpenPendingCases"/>
        </x15:connection>
      </ext>
    </extLst>
  </connection>
  <connection id="3" xr16:uid="{8F68A11B-027B-4096-9D28-349F12E473DE}" name="WorksheetConnection_CRC - Sellout Plan  2025.xlsm!Table6" type="102" refreshedVersion="8" minRefreshableVersion="5">
    <extLst>
      <ext xmlns:x15="http://schemas.microsoft.com/office/spreadsheetml/2010/11/main" uri="{DE250136-89BD-433C-8126-D09CA5730AF9}">
        <x15:connection id="Table6" autoDelete="1">
          <x15:rangePr sourceName="_xlcn.WorksheetConnection_CRCSelloutPlan2025.xlsmTable6"/>
        </x15:connection>
      </ext>
    </extLst>
  </connection>
</connections>
</file>

<file path=xl/sharedStrings.xml><?xml version="1.0" encoding="utf-8"?>
<sst xmlns="http://schemas.openxmlformats.org/spreadsheetml/2006/main" count="10225" uniqueCount="2207">
  <si>
    <t xml:space="preserve"> Timepiece Status</t>
  </si>
  <si>
    <t>Allocation Confirmed</t>
  </si>
  <si>
    <t>Potential Same Month</t>
  </si>
  <si>
    <t>High</t>
  </si>
  <si>
    <t>Transaction location</t>
  </si>
  <si>
    <t>Values</t>
  </si>
  <si>
    <t>Boutique Stock</t>
  </si>
  <si>
    <t>Total Count of Timepieces</t>
  </si>
  <si>
    <t>Total Amount</t>
  </si>
  <si>
    <t>CRC Name</t>
  </si>
  <si>
    <t xml:space="preserve">Timepiece Reference </t>
  </si>
  <si>
    <t>Count of Timepieces</t>
  </si>
  <si>
    <t>Amount</t>
  </si>
  <si>
    <t>Maaz</t>
  </si>
  <si>
    <t>1225V/200A-B590</t>
  </si>
  <si>
    <t>Riham</t>
  </si>
  <si>
    <t>5520V/210A-B686</t>
  </si>
  <si>
    <t xml:space="preserve">Riham </t>
  </si>
  <si>
    <t>Grand Total</t>
  </si>
  <si>
    <t xml:space="preserve">  Vacheron Constantin Sellout Plan </t>
  </si>
  <si>
    <t xml:space="preserve">No. </t>
  </si>
  <si>
    <t>Search Open</t>
  </si>
  <si>
    <t>Search pending</t>
  </si>
  <si>
    <t>Airtable Request Number</t>
  </si>
  <si>
    <t>Airtable Request Enty Date</t>
  </si>
  <si>
    <t>Request Entry Date</t>
  </si>
  <si>
    <t>Piece location</t>
  </si>
  <si>
    <t>Transaction Market</t>
  </si>
  <si>
    <t>Collection Name</t>
  </si>
  <si>
    <t>Price</t>
  </si>
  <si>
    <t>Price 2</t>
  </si>
  <si>
    <t>Client ID</t>
  </si>
  <si>
    <t>Karen Comment ﾂ</t>
  </si>
  <si>
    <t xml:space="preserve">Sale Status	</t>
  </si>
  <si>
    <t>Column1</t>
  </si>
  <si>
    <t>Invoice Month</t>
  </si>
  <si>
    <t>Payment Method</t>
  </si>
  <si>
    <t>Invoice Number</t>
  </si>
  <si>
    <t>Invoice Date</t>
  </si>
  <si>
    <t>NO Of  Open  days</t>
  </si>
  <si>
    <t>Pending days (timepieces)</t>
  </si>
  <si>
    <t>NO of Pending Days</t>
  </si>
  <si>
    <t xml:space="preserve">NO Of  Open </t>
  </si>
  <si>
    <t>Description</t>
  </si>
  <si>
    <t>Timepiece Request Updates</t>
  </si>
  <si>
    <t>Client Request Updates</t>
  </si>
  <si>
    <t>Transferred TO</t>
  </si>
  <si>
    <t>Captured date (Month and Year)</t>
  </si>
  <si>
    <t>Month</t>
  </si>
  <si>
    <t>Adjusted Price</t>
  </si>
  <si>
    <t>Adjusted Price2</t>
  </si>
  <si>
    <t>Adjusted Price3</t>
  </si>
  <si>
    <t>Adjusted Price4</t>
  </si>
  <si>
    <t>Asma</t>
  </si>
  <si>
    <t>Allocation confirmed(Deposit paid)</t>
  </si>
  <si>
    <t>Middle East (UAE)</t>
  </si>
  <si>
    <t>7920V/210A-B334</t>
  </si>
  <si>
    <t>NA</t>
  </si>
  <si>
    <t>Open Sale</t>
  </si>
  <si>
    <t>Paid Deposit - Full Payment</t>
  </si>
  <si>
    <t>Client from Estinia very interested in the Dula time blue dial/ met with him in the boutique and he paid deposit.</t>
  </si>
  <si>
    <t>on the way to MOE with ODN 7054069640 – ETA April 28th / 29th</t>
  </si>
  <si>
    <t>Client appointment:9/7/2025</t>
  </si>
  <si>
    <t>MOE</t>
  </si>
  <si>
    <t xml:space="preserve">CRC - Ecom </t>
  </si>
  <si>
    <t>No Availability</t>
  </si>
  <si>
    <t>None</t>
  </si>
  <si>
    <t>Allocation Closed (Sold)</t>
  </si>
  <si>
    <t xml:space="preserve">5520V/210A-B148 </t>
  </si>
  <si>
    <t>Sold</t>
  </si>
  <si>
    <t>Full Payment - By link</t>
  </si>
  <si>
    <t>The client is a collector, he has a Patrimony and an old Overseas Model, would like to purchase this Overseas Chronograph.</t>
  </si>
  <si>
    <t>Sold phone sale</t>
  </si>
  <si>
    <t>Closed Sale</t>
  </si>
  <si>
    <t>Suite 1755</t>
  </si>
  <si>
    <t xml:space="preserve">Boutique </t>
  </si>
  <si>
    <t>Piece Arrival/Allocation Updates</t>
  </si>
  <si>
    <t>Very Low</t>
  </si>
  <si>
    <t>CRC Stock</t>
  </si>
  <si>
    <t>Medium</t>
  </si>
  <si>
    <t>4200H/222J-B935</t>
  </si>
  <si>
    <t>Transferred</t>
  </si>
  <si>
    <t>One confirmed in MOE by Jack</t>
  </si>
  <si>
    <t xml:space="preserve"> Client posponed until 15th of April </t>
  </si>
  <si>
    <t>Pending Allocation</t>
  </si>
  <si>
    <t>Dubai Mall</t>
  </si>
  <si>
    <t>Paid</t>
  </si>
  <si>
    <t>Confirmed/Deposit Paid</t>
  </si>
  <si>
    <t>Low</t>
  </si>
  <si>
    <t>4600E/000A-B442</t>
  </si>
  <si>
    <t>Client coming from Saudi arabia Payment link sent but the client did not make the payment yet.</t>
  </si>
  <si>
    <t>Available in ecom location</t>
  </si>
  <si>
    <t>Client coming from Saudi arabia Payment link sent but the client did not make the payment yet due to bank issues) will come to UAE in the next coming days and will let me know how he would like tp proceed with it (Most probably will be btq purchase payment half cash half crdit card).</t>
  </si>
  <si>
    <t>Client Decision Deferred</t>
  </si>
  <si>
    <t xml:space="preserve">Asma </t>
  </si>
  <si>
    <t>4520V/210R-B705</t>
  </si>
  <si>
    <t>Piece is confirmed with boutique team? Latest update: client cancelled his trip (he is still interested but we informed him to pay deposit should he wish to proceed)</t>
  </si>
  <si>
    <t>Latest update: client cancelled his trip (he is still interested but we informed him to pay deposit should he wish to proceed) (Piece not reserved)</t>
  </si>
  <si>
    <t>No reservation</t>
  </si>
  <si>
    <t>RQS-UAE-120745</t>
  </si>
  <si>
    <t>BTQ Stock</t>
  </si>
  <si>
    <t>Currently Under Review</t>
  </si>
  <si>
    <t xml:space="preserve">4605V/200R-B969 </t>
  </si>
  <si>
    <t>Awaiting Client Feedback</t>
  </si>
  <si>
    <t>Middle East (KSA)</t>
  </si>
  <si>
    <t>July</t>
  </si>
  <si>
    <t>Full payment - At Boutique</t>
  </si>
  <si>
    <t>T-129323469</t>
  </si>
  <si>
    <t xml:space="preserve">Paid Deposite </t>
  </si>
  <si>
    <t>RQS-UAE-119016</t>
  </si>
  <si>
    <t>Approved by HQ</t>
  </si>
  <si>
    <t>7920V/210A-B333</t>
  </si>
  <si>
    <t>June</t>
  </si>
  <si>
    <t>T-129129869</t>
  </si>
  <si>
    <t>RQS-UAE-119762</t>
  </si>
  <si>
    <t>25/3/2025</t>
  </si>
  <si>
    <t>T-128759754</t>
  </si>
  <si>
    <t>Timepiece is available and the client will visit the btq on (6/13/2025) at 2pm to pick up the timepiece</t>
  </si>
  <si>
    <t>RQS-UAE-117464</t>
  </si>
  <si>
    <t>Awaiting HQ Approval</t>
  </si>
  <si>
    <t>4520V/210A-B128</t>
  </si>
  <si>
    <t xml:space="preserve">No one confirmed, the client </t>
  </si>
  <si>
    <t xml:space="preserve">Willing to pay anytime </t>
  </si>
  <si>
    <t>Paid Deposit</t>
  </si>
  <si>
    <t xml:space="preserve">The client is waiting for the allocation </t>
  </si>
  <si>
    <t xml:space="preserve">Deposit received </t>
  </si>
  <si>
    <t xml:space="preserve">Lead today received </t>
  </si>
  <si>
    <t>RQS-UAE-116983</t>
  </si>
  <si>
    <t>5520V/210R-B966</t>
  </si>
  <si>
    <t>Full Payment - Bank Transfer</t>
  </si>
  <si>
    <t xml:space="preserve">The bank information was shared  </t>
  </si>
  <si>
    <t>E-com</t>
  </si>
  <si>
    <t>4000V/210A-B911</t>
  </si>
  <si>
    <t>T-128709881</t>
  </si>
  <si>
    <t xml:space="preserve">Ecom </t>
  </si>
  <si>
    <t>T-129070481</t>
  </si>
  <si>
    <t>RQS-UAE-118906</t>
  </si>
  <si>
    <t>82035/000P-H063</t>
  </si>
  <si>
    <t xml:space="preserve">Aiming for the 222 </t>
  </si>
  <si>
    <t>Willing to pay upon allocation</t>
  </si>
  <si>
    <t>The client is scheduled to visit the boutique today at 8 PM to try the Moonphase. He has also hinted at wanting to persuade his brothers to transition from Patek to Vacheron Constantin, particularly impressed by the distinctiveness of the Overseas Moonphase and the 222. The exhibition has completely transformed his perception of Vacheron Constantin. | current collection : Patek Philippe Nautilus - Patek Philippe Aquanaut</t>
  </si>
  <si>
    <t>The client expressed strong interest in the timepiece. He mentioned that he is awaiting the takeover of another company, after which he plans to celebrate.</t>
  </si>
  <si>
    <t>The client is is finalizing the purchase  and will update before the first of May</t>
  </si>
  <si>
    <t>RQS-UAE-119970</t>
  </si>
  <si>
    <t>Client initially interested in the 222 and the dual time blue switched his interest to the Retrograde</t>
  </si>
  <si>
    <t>Order placed in Extend and the client will pay on Friday.</t>
  </si>
  <si>
    <t>RQS-UAE-119984</t>
  </si>
  <si>
    <t>7920V/210R-B965</t>
  </si>
  <si>
    <t>T-127226576</t>
  </si>
  <si>
    <t>The client has agreed to purchase the Overseas Dual Time Green, and the arrangement has been coordinated with Firas at suite 1755.</t>
  </si>
  <si>
    <t>Will be moved to Suite 1755.</t>
  </si>
  <si>
    <t xml:space="preserve">The client will do the payment Sunday  </t>
  </si>
  <si>
    <t>The client expressed interest in the Fiftysix and requested to have the timepiece delivered to his home.</t>
  </si>
  <si>
    <t>RQS-UAE-119995</t>
  </si>
  <si>
    <t>4520V/210R-B967</t>
  </si>
  <si>
    <t>Please confirm client goes ahead to Anais &amp; Rowel, so piece can be ordered from CH, estimated time: 7 days</t>
  </si>
  <si>
    <t>As per the client "I am on it. 
Approx a week 
I had told you that I’d do it by 15th May rest by May last week June first week.
But I’ll try and do it in the coming week itself "   a</t>
  </si>
  <si>
    <t xml:space="preserve">The timpiease available at the BTQ Patty approved for deposit </t>
  </si>
  <si>
    <t>The client is facing logistc issue in getting the watch back to India</t>
  </si>
  <si>
    <t>RQS-UAE-117655</t>
  </si>
  <si>
    <t>7920V/210A-B546</t>
  </si>
  <si>
    <t>I reached out to the client to confirm his interest, and according to him, he is still interested.</t>
  </si>
  <si>
    <t>RQS-UAE-117496</t>
  </si>
  <si>
    <t>17/6/2025</t>
  </si>
  <si>
    <t>RQS-UAE-120048</t>
  </si>
  <si>
    <t>4010T/000G-B740</t>
  </si>
  <si>
    <t>He has confirmed an appointment to visit the Mall of the Emirates boutique on 16th May 2025 at 6:00 PM to view the piece and proceed with the purchase if it suits him.
•	Internal Reference: 4010T/000G-B740</t>
  </si>
  <si>
    <t>The client keeps on holding</t>
  </si>
  <si>
    <t xml:space="preserve">updatejr </t>
  </si>
  <si>
    <t>RQS-UAE-120159</t>
  </si>
  <si>
    <t>4000E/000A-B439</t>
  </si>
  <si>
    <t>RQS-UAE-120160</t>
  </si>
  <si>
    <t>The client has paid the deposit, and the GC was initiated for his wife.</t>
  </si>
  <si>
    <t>Maya is handling the allocation.</t>
  </si>
  <si>
    <t xml:space="preserve">Confirmed </t>
  </si>
  <si>
    <t>RQS-UAE-120244</t>
  </si>
  <si>
    <t>Na</t>
  </si>
  <si>
    <t>43075/000R-9737</t>
  </si>
  <si>
    <t>The client is interested in the Traditionnelle self-winding ultra-thin and asking if we still have it</t>
  </si>
  <si>
    <t>STATUS</t>
  </si>
  <si>
    <t>CLIENT FEEDBACK</t>
  </si>
  <si>
    <t>REQUEST DATE</t>
  </si>
  <si>
    <t>REFERENCE</t>
  </si>
  <si>
    <t>BOUTIQUE</t>
  </si>
  <si>
    <t>CLIENT ID</t>
  </si>
  <si>
    <t>CLIENT SEGMENT</t>
  </si>
  <si>
    <t>SALES ASSOCIATE</t>
  </si>
  <si>
    <t>COMMENTS</t>
  </si>
  <si>
    <t>Avaliblity</t>
  </si>
  <si>
    <t>Request</t>
  </si>
  <si>
    <t/>
  </si>
  <si>
    <t>13/5/2025</t>
  </si>
  <si>
    <t>Phone sales Middle East</t>
  </si>
  <si>
    <t>Prospect</t>
  </si>
  <si>
    <t>SHARIF Maaz</t>
  </si>
  <si>
    <t xml:space="preserve">The client is intrested in the B911 and the Fiftysix 
</t>
  </si>
  <si>
    <t>Count of STATUS</t>
  </si>
  <si>
    <t>Column Labels</t>
  </si>
  <si>
    <t xml:space="preserve">Fiftysix complete calendar
</t>
  </si>
  <si>
    <t>10/5/2025</t>
  </si>
  <si>
    <t>4200H/222A-B934</t>
  </si>
  <si>
    <t>TAHHAN Riham</t>
  </si>
  <si>
    <t xml:space="preserve">
</t>
  </si>
  <si>
    <t>Row Labels</t>
  </si>
  <si>
    <t>OMARI Asma</t>
  </si>
  <si>
    <t xml:space="preserve">Aleksandr Luchenko
</t>
  </si>
  <si>
    <t>6/5/2025</t>
  </si>
  <si>
    <t>105678778</t>
  </si>
  <si>
    <t>101770162</t>
  </si>
  <si>
    <t>4520V/210A-B483</t>
  </si>
  <si>
    <t>101467308</t>
  </si>
  <si>
    <t>102003092</t>
  </si>
  <si>
    <t>105678696</t>
  </si>
  <si>
    <t>103658184</t>
  </si>
  <si>
    <t>3/5/2025</t>
  </si>
  <si>
    <t>105562671</t>
  </si>
  <si>
    <t xml:space="preserve">Mohammed Omar
</t>
  </si>
  <si>
    <t>105306744</t>
  </si>
  <si>
    <t>2/5/2025</t>
  </si>
  <si>
    <t>103643274</t>
  </si>
  <si>
    <t>105366145</t>
  </si>
  <si>
    <t>1/5/2025</t>
  </si>
  <si>
    <t>105487562</t>
  </si>
  <si>
    <t xml:space="preserve">The client will visit UAE
</t>
  </si>
  <si>
    <t>105366966</t>
  </si>
  <si>
    <t>29/4/2025</t>
  </si>
  <si>
    <t xml:space="preserve">Moonphase and 222
</t>
  </si>
  <si>
    <t>92424528</t>
  </si>
  <si>
    <t>105338699</t>
  </si>
  <si>
    <t>Confirmed</t>
  </si>
  <si>
    <t>25/4/2025</t>
  </si>
  <si>
    <t xml:space="preserve">The client is interested in either the bule or green dual time 
</t>
  </si>
  <si>
    <t>Pending client feedback</t>
  </si>
  <si>
    <t>23/4/2025</t>
  </si>
  <si>
    <t>104559752</t>
  </si>
  <si>
    <t xml:space="preserve">order placed for Phone sales.
</t>
  </si>
  <si>
    <t xml:space="preserve">Aziz Ata
</t>
  </si>
  <si>
    <t>19/4/2025</t>
  </si>
  <si>
    <t>101893659</t>
  </si>
  <si>
    <t xml:space="preserve">UAE - Collector AP, RM
</t>
  </si>
  <si>
    <t>18/4/2025</t>
  </si>
  <si>
    <t>5520V/210A-B148</t>
  </si>
  <si>
    <t>105225518</t>
  </si>
  <si>
    <t>105232635</t>
  </si>
  <si>
    <t xml:space="preserve">Erkan Kaya
</t>
  </si>
  <si>
    <t>17/4/2025</t>
  </si>
  <si>
    <t>82172/000P-H062</t>
  </si>
  <si>
    <t>92425024</t>
  </si>
  <si>
    <t>Client</t>
  </si>
  <si>
    <t xml:space="preserve">Majid Rahman (intrested in Novelties)
</t>
  </si>
  <si>
    <t>105234569</t>
  </si>
  <si>
    <t xml:space="preserve">KSA 222
</t>
  </si>
  <si>
    <t>16/4/2025</t>
  </si>
  <si>
    <t>105231885</t>
  </si>
  <si>
    <t xml:space="preserve">Ms. Theresa Jaeger : Gift for her husband birthday
</t>
  </si>
  <si>
    <t>105224074</t>
  </si>
  <si>
    <t xml:space="preserve">Mr. Abdulelah Bineid : ksa
</t>
  </si>
  <si>
    <t>4300V/220G-B945</t>
  </si>
  <si>
    <t>105248739</t>
  </si>
  <si>
    <t xml:space="preserve">client showed interest 
</t>
  </si>
  <si>
    <t>105370532</t>
  </si>
  <si>
    <t xml:space="preserve">**Managing Director**
- **Companies:**
- **Blue Star Tiles** (real estate/construction) fiftysix black dial 
</t>
  </si>
  <si>
    <t>15/4/2025</t>
  </si>
  <si>
    <t>105223407</t>
  </si>
  <si>
    <t>Cancelled</t>
  </si>
  <si>
    <t>12/4/2025</t>
  </si>
  <si>
    <t>105371442</t>
  </si>
  <si>
    <t xml:space="preserve">the client owns : Rolex Submariner 126613LB - Rolex Datejust 41 - Rolex Submariner Date 41mm **Target budget ~185,000 AE**  
</t>
  </si>
  <si>
    <t>9/4/2025</t>
  </si>
  <si>
    <t>105122031</t>
  </si>
  <si>
    <t xml:space="preserve">Ahmed El-Badawy
</t>
  </si>
  <si>
    <t>8/4/2025</t>
  </si>
  <si>
    <t>105116801</t>
  </si>
  <si>
    <t xml:space="preserve">dual time ksa 
</t>
  </si>
  <si>
    <t>105117467</t>
  </si>
  <si>
    <t xml:space="preserve">222 KSA client - P
</t>
  </si>
  <si>
    <t xml:space="preserve">the dual  time , 
</t>
  </si>
  <si>
    <t>6/4/2025</t>
  </si>
  <si>
    <t xml:space="preserve">very interested in the dual time and Chronograph 
</t>
  </si>
  <si>
    <t>5/4/2025</t>
  </si>
  <si>
    <t>105413736</t>
  </si>
  <si>
    <t xml:space="preserve">222
</t>
  </si>
  <si>
    <t>4/4/2025</t>
  </si>
  <si>
    <t>105001985</t>
  </si>
  <si>
    <t xml:space="preserve">Mr. Sultan Al Saud ksa
</t>
  </si>
  <si>
    <t>101108337</t>
  </si>
  <si>
    <t xml:space="preserve">0098845999 - 0101108337 client is an owner of OVS dual time. But now he is interested in 222 and requested to be added to the waiting list
</t>
  </si>
  <si>
    <t>3/4/2025</t>
  </si>
  <si>
    <t>104989923</t>
  </si>
  <si>
    <t>104977543</t>
  </si>
  <si>
    <t xml:space="preserve">Mr. Amit Agarwal (india)
</t>
  </si>
  <si>
    <t>103771139</t>
  </si>
  <si>
    <t xml:space="preserve">Mr. Aliwavip Etowati (Egypt)
</t>
  </si>
  <si>
    <t>104939061</t>
  </si>
  <si>
    <t>105007242</t>
  </si>
  <si>
    <t xml:space="preserve">[Obaid Mubarak Al muhairi](mailto:Obaidmuhairi@gmail.com) | a collector 
</t>
  </si>
  <si>
    <t>4600E/000R-H101</t>
  </si>
  <si>
    <t>105372157</t>
  </si>
  <si>
    <t xml:space="preserve">Fiftysix black dial 
</t>
  </si>
  <si>
    <t>2/4/2025</t>
  </si>
  <si>
    <t>92397772</t>
  </si>
  <si>
    <t xml:space="preserve">Mr. Sameer Rafique
</t>
  </si>
  <si>
    <t>104908207</t>
  </si>
  <si>
    <t xml:space="preserve">Mr. Vincent Kedikilwe
</t>
  </si>
  <si>
    <t>104994951</t>
  </si>
  <si>
    <t xml:space="preserve">Salman Almashari ksa
</t>
  </si>
  <si>
    <t>4600E/000A-B487</t>
  </si>
  <si>
    <t>105485963</t>
  </si>
  <si>
    <t>1/4/2025</t>
  </si>
  <si>
    <t>104687880</t>
  </si>
  <si>
    <t>5520V/210R-B952</t>
  </si>
  <si>
    <t>104802404</t>
  </si>
  <si>
    <t xml:space="preserve">He will visiting the UAE end of April to purchase the Overseas (If available)
</t>
  </si>
  <si>
    <t>104687223</t>
  </si>
  <si>
    <t>104982295</t>
  </si>
  <si>
    <t xml:space="preserve">Ahmed Alhammadi
</t>
  </si>
  <si>
    <t>29/3/2025</t>
  </si>
  <si>
    <t>101107205</t>
  </si>
  <si>
    <t xml:space="preserve">Mr. Mohamed Eljadi
</t>
  </si>
  <si>
    <t>104922362</t>
  </si>
  <si>
    <t xml:space="preserve">Mr. Conrad Lee
</t>
  </si>
  <si>
    <t>103645785</t>
  </si>
  <si>
    <t xml:space="preserve">222 
</t>
  </si>
  <si>
    <t>93231984</t>
  </si>
  <si>
    <t xml:space="preserve">the 222
</t>
  </si>
  <si>
    <t>101921704</t>
  </si>
  <si>
    <t xml:space="preserve">OS black dial : 4520V/210A-B483
</t>
  </si>
  <si>
    <t>103831079</t>
  </si>
  <si>
    <t xml:space="preserve">the client is interested in the Overseas blue dial and paid deposit 
</t>
  </si>
  <si>
    <t xml:space="preserve">Fiftysix self-winding
</t>
  </si>
  <si>
    <t>28/3/2025</t>
  </si>
  <si>
    <t>104181314</t>
  </si>
  <si>
    <t xml:space="preserve">For his graduation next year :Mr. Lakshya Gupta
</t>
  </si>
  <si>
    <t>27/3/2025</t>
  </si>
  <si>
    <t>104908886</t>
  </si>
  <si>
    <t>104849248</t>
  </si>
  <si>
    <t xml:space="preserve">the client is coming next week. already own the  \n Overseas chronograph  VMX55AV148
</t>
  </si>
  <si>
    <t>93232291</t>
  </si>
  <si>
    <t xml:space="preserve">4200H/222A-B934 222
</t>
  </si>
  <si>
    <t>103617532</t>
  </si>
  <si>
    <t>104564947</t>
  </si>
  <si>
    <t>104853731</t>
  </si>
  <si>
    <t>104853450</t>
  </si>
  <si>
    <t>22/3/2025</t>
  </si>
  <si>
    <t>104769573</t>
  </si>
  <si>
    <t xml:space="preserve">lives between Dubai and Geneva.
</t>
  </si>
  <si>
    <t>99219912</t>
  </si>
  <si>
    <t xml:space="preserve">elrahmanhefny ksa
</t>
  </si>
  <si>
    <t>104796476</t>
  </si>
  <si>
    <t xml:space="preserve">The client wishes to purchase his first Vacheron Constantin timepiece in Dubai, as he has a deep appreciation for the city and wants his first VC watch to hold a special connection to it. He is ready to purchase it right away.
</t>
  </si>
  <si>
    <t>19/3/2025</t>
  </si>
  <si>
    <t>6000V/210R-B934</t>
  </si>
  <si>
    <t>104689190</t>
  </si>
  <si>
    <t>18/3/2025</t>
  </si>
  <si>
    <t>15/3/2025</t>
  </si>
  <si>
    <t>104609280</t>
  </si>
  <si>
    <t xml:space="preserve">b128 no history 
</t>
  </si>
  <si>
    <t>13/3/2025</t>
  </si>
  <si>
    <t>99351991</t>
  </si>
  <si>
    <t>104572070</t>
  </si>
  <si>
    <t>104576008</t>
  </si>
  <si>
    <t>11/3/2025</t>
  </si>
  <si>
    <t>104513303</t>
  </si>
  <si>
    <t xml:space="preserve">Sultan Aldhaher (ksa)
</t>
  </si>
  <si>
    <t>103058008</t>
  </si>
  <si>
    <t>104075516</t>
  </si>
  <si>
    <t xml:space="preserve">interested in the 222
</t>
  </si>
  <si>
    <t>101055665</t>
  </si>
  <si>
    <t>8/3/2025</t>
  </si>
  <si>
    <t>104506669</t>
  </si>
  <si>
    <t>6000T/000R-B346</t>
  </si>
  <si>
    <t>104509438</t>
  </si>
  <si>
    <t>105118480</t>
  </si>
  <si>
    <t xml:space="preserve">Dual time green 
</t>
  </si>
  <si>
    <t>7/3/2025</t>
  </si>
  <si>
    <t>102277427</t>
  </si>
  <si>
    <t xml:space="preserve">Mr. Fida Hussain
</t>
  </si>
  <si>
    <t>91002249</t>
  </si>
  <si>
    <t xml:space="preserve">Abdullaziz Alshreef : KSA
</t>
  </si>
  <si>
    <t>104481449</t>
  </si>
  <si>
    <t xml:space="preserve">Alhasan Alkindi
</t>
  </si>
  <si>
    <t>104455540</t>
  </si>
  <si>
    <t xml:space="preserve">Andrey Karpov
</t>
  </si>
  <si>
    <t>104909110</t>
  </si>
  <si>
    <t>6/3/2025</t>
  </si>
  <si>
    <t>104241748</t>
  </si>
  <si>
    <t xml:space="preserve">DR Ali Aldhanhani
</t>
  </si>
  <si>
    <t>5/3/2025</t>
  </si>
  <si>
    <t>104457258</t>
  </si>
  <si>
    <t>104482467</t>
  </si>
  <si>
    <t>4/3/2025</t>
  </si>
  <si>
    <t>104455380</t>
  </si>
  <si>
    <t xml:space="preserve">Mr. Peter AROKIANATHAN (ksa)
</t>
  </si>
  <si>
    <t>104455689</t>
  </si>
  <si>
    <t xml:space="preserve">Would like the pick up to be end of Dec first of Jan
</t>
  </si>
  <si>
    <t>104455472</t>
  </si>
  <si>
    <t>91002262</t>
  </si>
  <si>
    <t>104459323</t>
  </si>
  <si>
    <t xml:space="preserve">the client is interested in the dual and Chronograph black dial 
</t>
  </si>
  <si>
    <t>1/3/2025</t>
  </si>
  <si>
    <t>104397738</t>
  </si>
  <si>
    <t xml:space="preserve">interested in the 222 and dual time 
</t>
  </si>
  <si>
    <t>98874827</t>
  </si>
  <si>
    <t xml:space="preserve">the client intrested in the 222
</t>
  </si>
  <si>
    <t>104457807</t>
  </si>
  <si>
    <t xml:space="preserve">the client is interested 
</t>
  </si>
  <si>
    <t>6010T/000R-B638</t>
  </si>
  <si>
    <t xml:space="preserve">The client specializes in auto tuning, automatic watches, and exclusive key fobs. His uncle has a strong interest in Traditionnelle and Overseas collections, particularly the tourbillon editions
</t>
  </si>
  <si>
    <t>103673092</t>
  </si>
  <si>
    <t xml:space="preserve">the client main aim is the 222 and the 128 
</t>
  </si>
  <si>
    <t>28/2/2025</t>
  </si>
  <si>
    <t>104299847</t>
  </si>
  <si>
    <t>103621137</t>
  </si>
  <si>
    <t>98609197</t>
  </si>
  <si>
    <t>27/2/2025</t>
  </si>
  <si>
    <t>104329408</t>
  </si>
  <si>
    <t xml:space="preserve">222 Fam
</t>
  </si>
  <si>
    <t>104375430</t>
  </si>
  <si>
    <t xml:space="preserve">Mr. Sultan Al Faisal (ksa)
</t>
  </si>
  <si>
    <t>104183935</t>
  </si>
  <si>
    <t xml:space="preserve">Mr. Tauqeer Dawood
</t>
  </si>
  <si>
    <t>104375462</t>
  </si>
  <si>
    <t xml:space="preserve">222 Blue
</t>
  </si>
  <si>
    <t>104326404</t>
  </si>
  <si>
    <t xml:space="preserve">The client is always between  Riyadh and Dubai and want the 222
</t>
  </si>
  <si>
    <t>102680410</t>
  </si>
  <si>
    <t xml:space="preserve">The client is very interested KW 
</t>
  </si>
  <si>
    <t>25/2/2025</t>
  </si>
  <si>
    <t>103847224</t>
  </si>
  <si>
    <t>104255707</t>
  </si>
  <si>
    <t>104270695</t>
  </si>
  <si>
    <t xml:space="preserve">222 gcc 
</t>
  </si>
  <si>
    <t>102905736</t>
  </si>
  <si>
    <t>21/2/2025</t>
  </si>
  <si>
    <t>92404193</t>
  </si>
  <si>
    <t xml:space="preserve">Mr. Ronnie Anbouba
</t>
  </si>
  <si>
    <t>20/2/2025</t>
  </si>
  <si>
    <t>103831073</t>
  </si>
  <si>
    <t>19/2/2025</t>
  </si>
  <si>
    <t>104181189</t>
  </si>
  <si>
    <t xml:space="preserve">Mr. Arkan Khedair
</t>
  </si>
  <si>
    <t>104459131</t>
  </si>
  <si>
    <t xml:space="preserve">the client would like to reserve  Overseas chronograph
</t>
  </si>
  <si>
    <t>18/2/2025</t>
  </si>
  <si>
    <t>104137810</t>
  </si>
  <si>
    <t xml:space="preserve">Mr. Humaid Shaikh
</t>
  </si>
  <si>
    <t>104137864</t>
  </si>
  <si>
    <t xml:space="preserve">Mr. Mohamed Alsuwaidi
</t>
  </si>
  <si>
    <t>92402356</t>
  </si>
  <si>
    <t xml:space="preserve">Hussain Mohamed
</t>
  </si>
  <si>
    <t>15/2/2025</t>
  </si>
  <si>
    <t>104495233</t>
  </si>
  <si>
    <t xml:space="preserve">the client is very interested in the Overseas chronograph
and willing to secure it via payment link 
</t>
  </si>
  <si>
    <t>13/2/2025</t>
  </si>
  <si>
    <t>103985822</t>
  </si>
  <si>
    <t>104069433</t>
  </si>
  <si>
    <t xml:space="preserve">Roman Heinrichs
</t>
  </si>
  <si>
    <t>12/2/2025</t>
  </si>
  <si>
    <t>103936120</t>
  </si>
  <si>
    <t>104050167</t>
  </si>
  <si>
    <t xml:space="preserve">Arthur Sarkisian
</t>
  </si>
  <si>
    <t>11/2/2025</t>
  </si>
  <si>
    <t>104044650</t>
  </si>
  <si>
    <t>104044791</t>
  </si>
  <si>
    <t xml:space="preserve">Mr. Mostafa Gheita
</t>
  </si>
  <si>
    <t>104048409</t>
  </si>
  <si>
    <t xml:space="preserve">Mr. Omar Alamoodi
</t>
  </si>
  <si>
    <t>104044621</t>
  </si>
  <si>
    <t>7/2/2025</t>
  </si>
  <si>
    <t>103976282</t>
  </si>
  <si>
    <t>103985685</t>
  </si>
  <si>
    <t>103471315</t>
  </si>
  <si>
    <t>5/2/2025</t>
  </si>
  <si>
    <t>103937781</t>
  </si>
  <si>
    <t xml:space="preserve">Mr. Benjamin Ping
</t>
  </si>
  <si>
    <t>92425936</t>
  </si>
  <si>
    <t>4/2/2025</t>
  </si>
  <si>
    <t>103879055</t>
  </si>
  <si>
    <t xml:space="preserve">Ahmad Alsadhan (ksa)
</t>
  </si>
  <si>
    <t>103936063</t>
  </si>
  <si>
    <t xml:space="preserve">Mr. Rayan Mansouri / ksa/ contacted on whatsapp as well.
</t>
  </si>
  <si>
    <t xml:space="preserve">Rayan Mansouri ksa
</t>
  </si>
  <si>
    <t>103873184</t>
  </si>
  <si>
    <t>103890141</t>
  </si>
  <si>
    <t>103844198</t>
  </si>
  <si>
    <t>4000U/000P-H003</t>
  </si>
  <si>
    <t>103677618</t>
  </si>
  <si>
    <t xml:space="preserve">The client interested in the 222 gold and steel as well the Patrimony and Historiques 
</t>
  </si>
  <si>
    <t xml:space="preserve">Clinet is intrested in the 222 
</t>
  </si>
  <si>
    <t xml:space="preserve">the client want to purchase this timepeice , to gift it to his father 
</t>
  </si>
  <si>
    <t>31/1/2025</t>
  </si>
  <si>
    <t>103844750</t>
  </si>
  <si>
    <t>101917600</t>
  </si>
  <si>
    <t xml:space="preserve">The client will visit UAE in 2 years and would want to collect it
</t>
  </si>
  <si>
    <t>30/1/2025</t>
  </si>
  <si>
    <t>103842376</t>
  </si>
  <si>
    <t>91001874</t>
  </si>
  <si>
    <t xml:space="preserve">Ahmad Al Sadhan (KSA)
</t>
  </si>
  <si>
    <t>101584631</t>
  </si>
  <si>
    <t xml:space="preserve">Mr. Ravi Borkar interested in the 222 gold and steel. by March.
</t>
  </si>
  <si>
    <t>29/1/2025</t>
  </si>
  <si>
    <t>4300V/220G-B946</t>
  </si>
  <si>
    <t>103845937</t>
  </si>
  <si>
    <t xml:space="preserve">the client is interested Overseas perpetual calendar
</t>
  </si>
  <si>
    <t>103848588</t>
  </si>
  <si>
    <t xml:space="preserve">The client is very intrested in blue and black dual time , aslo he his availability for appointments at the Dubai Mall boutique on the evening of **February 9**, the m**orning of February 11,** **and February 13**, if the watch is available to purchase
</t>
  </si>
  <si>
    <t xml:space="preserve">the client mentions his availability for appointments at the Dubai Mall boutique on the evening of February 9, the morning of February 11, and February 13, if the watch is available.
</t>
  </si>
  <si>
    <t>28/1/2025</t>
  </si>
  <si>
    <t>103830768</t>
  </si>
  <si>
    <t>103415632</t>
  </si>
  <si>
    <t>103832238</t>
  </si>
  <si>
    <t>103647896</t>
  </si>
  <si>
    <t>103671258</t>
  </si>
  <si>
    <t>27/1/2025</t>
  </si>
  <si>
    <t>102442135</t>
  </si>
  <si>
    <t>103670555</t>
  </si>
  <si>
    <t>103834361</t>
  </si>
  <si>
    <t>25/1/2025</t>
  </si>
  <si>
    <t>103648743</t>
  </si>
  <si>
    <t>103775089</t>
  </si>
  <si>
    <t>103756750</t>
  </si>
  <si>
    <t xml:space="preserve">Mr. Abdullah Alomari (ksa)
</t>
  </si>
  <si>
    <t>103784220</t>
  </si>
  <si>
    <t xml:space="preserve">Mr. Fawaz Aljaseer (ksa)
</t>
  </si>
  <si>
    <t>24/1/2025</t>
  </si>
  <si>
    <t>103744983</t>
  </si>
  <si>
    <t>22/1/2025</t>
  </si>
  <si>
    <t>103633388</t>
  </si>
  <si>
    <t>103721541</t>
  </si>
  <si>
    <t xml:space="preserve">Sheikh Sultan Althani (KSA)
</t>
  </si>
  <si>
    <t>103729472</t>
  </si>
  <si>
    <t xml:space="preserve">The client was referred by my client and he's interested in the Gold 222
</t>
  </si>
  <si>
    <t>103719727</t>
  </si>
  <si>
    <t xml:space="preserve">Mr. Abdulrhman Bajaber (KSA)
</t>
  </si>
  <si>
    <t>21/1/2025</t>
  </si>
  <si>
    <t>92406537</t>
  </si>
  <si>
    <t>103531883</t>
  </si>
  <si>
    <t xml:space="preserve">the client is intrested in this timepeice and aiming as well for the 222
</t>
  </si>
  <si>
    <t>100511411</t>
  </si>
  <si>
    <t>92399706</t>
  </si>
  <si>
    <t xml:space="preserve">Mr Ragheb Alshakhshir
</t>
  </si>
  <si>
    <t>103714062</t>
  </si>
  <si>
    <t xml:space="preserve">Mr. Mohammed Bafail (Ksa)
</t>
  </si>
  <si>
    <t>20/1/2025</t>
  </si>
  <si>
    <t>92408008</t>
  </si>
  <si>
    <t>103713756</t>
  </si>
  <si>
    <t>103742903</t>
  </si>
  <si>
    <t xml:space="preserve">Very interested client 
</t>
  </si>
  <si>
    <t>18/1/2025</t>
  </si>
  <si>
    <t>103671342</t>
  </si>
  <si>
    <t>103661537</t>
  </si>
  <si>
    <t xml:space="preserve">Rakan Alrashed (ksa)
</t>
  </si>
  <si>
    <t>103675481</t>
  </si>
  <si>
    <t xml:space="preserve">Leo Dogan
</t>
  </si>
  <si>
    <t>100330605</t>
  </si>
  <si>
    <t>92428108</t>
  </si>
  <si>
    <t>92403555</t>
  </si>
  <si>
    <t>103671613</t>
  </si>
  <si>
    <t>92406996</t>
  </si>
  <si>
    <t>103673291</t>
  </si>
  <si>
    <t>103645978</t>
  </si>
  <si>
    <t>17/1/2025</t>
  </si>
  <si>
    <t>103633978</t>
  </si>
  <si>
    <t>92398060</t>
  </si>
  <si>
    <t>93597721</t>
  </si>
  <si>
    <t>103656438</t>
  </si>
  <si>
    <t>103642399</t>
  </si>
  <si>
    <t xml:space="preserve">Kayed Hamad
</t>
  </si>
  <si>
    <t>103646927</t>
  </si>
  <si>
    <t xml:space="preserve">Mr. Joshua Armstrong
</t>
  </si>
  <si>
    <t>103642513</t>
  </si>
  <si>
    <t xml:space="preserve">Muhannad Al Shami
</t>
  </si>
  <si>
    <t>91001822</t>
  </si>
  <si>
    <t xml:space="preserve">Abdullatif alharthi
</t>
  </si>
  <si>
    <t>92399337</t>
  </si>
  <si>
    <t xml:space="preserve">Mr. Venu Madhav
</t>
  </si>
  <si>
    <t>103657666</t>
  </si>
  <si>
    <t xml:space="preserve">Mr. Tim Renat
</t>
  </si>
  <si>
    <t>103660737</t>
  </si>
  <si>
    <t>103648068</t>
  </si>
  <si>
    <t>103631693</t>
  </si>
  <si>
    <t>103616253</t>
  </si>
  <si>
    <t>92404856</t>
  </si>
  <si>
    <t>100481133</t>
  </si>
  <si>
    <t>VIC</t>
  </si>
  <si>
    <t>16/1/2025</t>
  </si>
  <si>
    <t>103632517</t>
  </si>
  <si>
    <t>100432455</t>
  </si>
  <si>
    <t xml:space="preserve">Mr. Siddhant Sabbarwal (uae located in India)
</t>
  </si>
  <si>
    <t>103634169</t>
  </si>
  <si>
    <t>103634472</t>
  </si>
  <si>
    <t>103634611</t>
  </si>
  <si>
    <t>103632652</t>
  </si>
  <si>
    <t>103642113</t>
  </si>
  <si>
    <t xml:space="preserve">the client is very interested 
</t>
  </si>
  <si>
    <t>98199321</t>
  </si>
  <si>
    <t>VVIC</t>
  </si>
  <si>
    <t xml:space="preserve">the client already purchased the b128 
</t>
  </si>
  <si>
    <t>92397711</t>
  </si>
  <si>
    <t>103645755</t>
  </si>
  <si>
    <t>92410153</t>
  </si>
  <si>
    <t>92406326</t>
  </si>
  <si>
    <t>100217721</t>
  </si>
  <si>
    <t>103646324</t>
  </si>
  <si>
    <t>103646387</t>
  </si>
  <si>
    <t>101009517</t>
  </si>
  <si>
    <t>101623615</t>
  </si>
  <si>
    <t>101346110</t>
  </si>
  <si>
    <t>102180966</t>
  </si>
  <si>
    <t>103656728</t>
  </si>
  <si>
    <t>92403591</t>
  </si>
  <si>
    <t>92400865</t>
  </si>
  <si>
    <t>15/1/2025</t>
  </si>
  <si>
    <t>103617461</t>
  </si>
  <si>
    <t>103630373</t>
  </si>
  <si>
    <t xml:space="preserve">Only calls (Mr. Eujin Lajuenko)
</t>
  </si>
  <si>
    <t>103620891</t>
  </si>
  <si>
    <t xml:space="preserve">Owner of OVS and fifty six blue dial
</t>
  </si>
  <si>
    <t>103622461</t>
  </si>
  <si>
    <t xml:space="preserve">Mr. Shadi Hassan
</t>
  </si>
  <si>
    <t>103616594</t>
  </si>
  <si>
    <t xml:space="preserve">the client is intrested in the Timepeice 
</t>
  </si>
  <si>
    <t>103610315</t>
  </si>
  <si>
    <t xml:space="preserve">The client is interested in the 222
</t>
  </si>
  <si>
    <t>92400627</t>
  </si>
  <si>
    <t xml:space="preserve">Requested UAE market
</t>
  </si>
  <si>
    <t>103630617</t>
  </si>
  <si>
    <t>92407337</t>
  </si>
  <si>
    <t>92422856</t>
  </si>
  <si>
    <t>93832355</t>
  </si>
  <si>
    <t>103632699</t>
  </si>
  <si>
    <t>103631041</t>
  </si>
  <si>
    <t xml:space="preserve">Mr. Mohammed Alhashimi (KSA)
</t>
  </si>
  <si>
    <t>4520V/210A-B126</t>
  </si>
  <si>
    <t>103633773</t>
  </si>
  <si>
    <t>92398362</t>
  </si>
  <si>
    <t>103616758</t>
  </si>
  <si>
    <t>98742444</t>
  </si>
  <si>
    <t>103629013</t>
  </si>
  <si>
    <t xml:space="preserve">ksa : Yousef Alibrahim
</t>
  </si>
  <si>
    <t>92408025</t>
  </si>
  <si>
    <t>103616558</t>
  </si>
  <si>
    <t>92397362</t>
  </si>
  <si>
    <t>103591723</t>
  </si>
  <si>
    <t>92401316</t>
  </si>
  <si>
    <t>103617256</t>
  </si>
  <si>
    <t>103616653</t>
  </si>
  <si>
    <t>103620663</t>
  </si>
  <si>
    <t>103621182</t>
  </si>
  <si>
    <t>103620632</t>
  </si>
  <si>
    <t>92397707</t>
  </si>
  <si>
    <t>14/1/2025</t>
  </si>
  <si>
    <t>103615698</t>
  </si>
  <si>
    <t xml:space="preserve">The client is a watch collector
</t>
  </si>
  <si>
    <t>90999799</t>
  </si>
  <si>
    <t xml:space="preserve">Mr. Faihan Al Raqas ( 966598444066)
</t>
  </si>
  <si>
    <t>103437674</t>
  </si>
  <si>
    <t xml:space="preserve">The client is already interested in the 222 and willing to pay in advance 
</t>
  </si>
  <si>
    <t xml:space="preserve">the client is very intrested 
</t>
  </si>
  <si>
    <t>101466987</t>
  </si>
  <si>
    <t>103615908</t>
  </si>
  <si>
    <t xml:space="preserve">Mr. Eddy Hourani
</t>
  </si>
  <si>
    <t>103617827</t>
  </si>
  <si>
    <t>103616136</t>
  </si>
  <si>
    <t xml:space="preserve">Mr. Basil Bostami (Client for ksa)
</t>
  </si>
  <si>
    <t>103616580</t>
  </si>
  <si>
    <t xml:space="preserve">Mr. Amir Farag
</t>
  </si>
  <si>
    <t>103615205</t>
  </si>
  <si>
    <t xml:space="preserve">A gift for his father 
</t>
  </si>
  <si>
    <t>92409190</t>
  </si>
  <si>
    <t>103616562</t>
  </si>
  <si>
    <t>103616432</t>
  </si>
  <si>
    <t>103620924</t>
  </si>
  <si>
    <t>92404476</t>
  </si>
  <si>
    <t xml:space="preserve">Cllient is very interested 
</t>
  </si>
  <si>
    <t>92406536</t>
  </si>
  <si>
    <t>103620484</t>
  </si>
  <si>
    <t>103631902</t>
  </si>
  <si>
    <t>93912121</t>
  </si>
  <si>
    <t>103634777</t>
  </si>
  <si>
    <t>11/1/2025</t>
  </si>
  <si>
    <t>103576190</t>
  </si>
  <si>
    <t xml:space="preserve">The client showed interest in the Dual Time and he will be visiting Geneva from 5 of Feb until the 7th Feb 2025 
</t>
  </si>
  <si>
    <t>10/1/2025</t>
  </si>
  <si>
    <t xml:space="preserve">The client stated that he will go and try it 
</t>
  </si>
  <si>
    <t>2/1/2025</t>
  </si>
  <si>
    <t>5520V/210A-B481</t>
  </si>
  <si>
    <t>103437947</t>
  </si>
  <si>
    <t xml:space="preserve">Mr. Taylan Sayin
</t>
  </si>
  <si>
    <t xml:space="preserve">as per the client expressing interest in two models:
- **Overseas Dual Time (Steel)**
- **1921 (40mm and 36mm)**
Mr. Khan described his existing collection, which includes:
- **Omega**
- **Panerai**
- **Vintage Raymond Weil**
</t>
  </si>
  <si>
    <t>1/1/2025</t>
  </si>
  <si>
    <t>103671316</t>
  </si>
  <si>
    <t xml:space="preserve">The client is interested in the timepeice but still thinking of his budget 
</t>
  </si>
  <si>
    <t xml:space="preserve">Watch collector: 3 Rolexes, 2 JLC, 1 AP (Royal Oak Offshore Diver), 1 IWC, 1 Chopard, 1 Ulysse Nardin, 2 Nomos. 
</t>
  </si>
  <si>
    <t>27/12/2024</t>
  </si>
  <si>
    <t xml:space="preserve">Fida Hussain junjua
</t>
  </si>
  <si>
    <t>26/12/2024</t>
  </si>
  <si>
    <t>103100862</t>
  </si>
  <si>
    <t>Postponed</t>
  </si>
  <si>
    <t>99502446</t>
  </si>
  <si>
    <t xml:space="preserve">The client added his interest in Lebanon two years ago but no one contacted him. He is interested in this timepiece and can come to UAE
</t>
  </si>
  <si>
    <t>25/12/2024</t>
  </si>
  <si>
    <t>102505094</t>
  </si>
  <si>
    <t xml:space="preserve">The client wants to purchase the Overseas chronograph 5520V/210A-B148
and has another request for the black one. He wants to try the blue one now and complete the payment
</t>
  </si>
  <si>
    <t>21/12/2024</t>
  </si>
  <si>
    <t>102928395</t>
  </si>
  <si>
    <t xml:space="preserve">The client is watch collecter 
</t>
  </si>
  <si>
    <t>103124476</t>
  </si>
  <si>
    <t>20/12/2024</t>
  </si>
  <si>
    <t>102945078</t>
  </si>
  <si>
    <t>19/12/2024</t>
  </si>
  <si>
    <t xml:space="preserve">The client would like to be listed for the chronograph
</t>
  </si>
  <si>
    <t xml:space="preserve">The client is a collecter with big interest  on the overseas collection 
</t>
  </si>
  <si>
    <t>102965997</t>
  </si>
  <si>
    <t>18/12/2024</t>
  </si>
  <si>
    <t>103081456</t>
  </si>
  <si>
    <t xml:space="preserve">The client got promoted recently and would like to get this timepiece.
</t>
  </si>
  <si>
    <t xml:space="preserve">To gift it to his father as a replacement of the 222 steel that he has.
</t>
  </si>
  <si>
    <t>17/12/2024</t>
  </si>
  <si>
    <t>103057654</t>
  </si>
  <si>
    <t>103058741</t>
  </si>
  <si>
    <t xml:space="preserve">The client is of exceptional stature, with deep-rooted connections to family-operated holding companies and a distinguished legacy in multi-generational wealth management, reflecting both influence and enduring financial sophistication. 
</t>
  </si>
  <si>
    <t>14/12/2024</t>
  </si>
  <si>
    <t xml:space="preserve">The client would like to buy this timepiece a gift for his brother - His birthday is on August 11
</t>
  </si>
  <si>
    <t>102991728</t>
  </si>
  <si>
    <t xml:space="preserve">The client is a watch collcter, appreciative of the brand history and heritage and considers having this timepiece will make him a successful watch collector.
</t>
  </si>
  <si>
    <t>13/12/2024</t>
  </si>
  <si>
    <t>102951000</t>
  </si>
  <si>
    <t xml:space="preserve">The client is interested in getting the Overseas for special occasion and will also purchase the fiftysix 4600E/110A-B487 for day to day use.
</t>
  </si>
  <si>
    <t>10/12/2024</t>
  </si>
  <si>
    <t>102904196</t>
  </si>
  <si>
    <t>102905570</t>
  </si>
  <si>
    <t>5/12/2024</t>
  </si>
  <si>
    <t>102735123</t>
  </si>
  <si>
    <t xml:space="preserve">Mr. Chirag Arora : also interested in the historiques 222
</t>
  </si>
  <si>
    <t xml:space="preserve">Mr. Chirag Arora : is also interested in the overeseas gold selfwinding green dial.
</t>
  </si>
  <si>
    <t>4/12/2024</t>
  </si>
  <si>
    <t>102637104</t>
  </si>
  <si>
    <t xml:space="preserve">The client is based in India , and willing to come to the UAE for 128 
</t>
  </si>
  <si>
    <t>28/11/2024</t>
  </si>
  <si>
    <t>102618733</t>
  </si>
  <si>
    <t xml:space="preserve">Mr. Asim Alowais
</t>
  </si>
  <si>
    <t>27/11/2024</t>
  </si>
  <si>
    <t>102600071</t>
  </si>
  <si>
    <t xml:space="preserve">Mr. Anthony Delpiano contacted us via email
</t>
  </si>
  <si>
    <t>26/11/2024</t>
  </si>
  <si>
    <t>102549877</t>
  </si>
  <si>
    <t xml:space="preserve">Mr Abdelhadi Mohamed interested in the Overseas Blue dial but he is also open for alternatives.
</t>
  </si>
  <si>
    <t>23/11/2024</t>
  </si>
  <si>
    <t>92404764</t>
  </si>
  <si>
    <t xml:space="preserve">Client was initially interested in the 222 but now he would like to register for the Overseasmoon phase retrograde date: for his son birthday on 28 Nov.
</t>
  </si>
  <si>
    <t>21/11/2024</t>
  </si>
  <si>
    <t xml:space="preserve">Added to the waiting list for the OVS retrograde moonphase
</t>
  </si>
  <si>
    <t>20/11/2024</t>
  </si>
  <si>
    <t>102502922</t>
  </si>
  <si>
    <t xml:space="preserve">the client would like to purchases the Overseasquartz
1225V/200A-B590 33 mm Steel 
</t>
  </si>
  <si>
    <t>101472623</t>
  </si>
  <si>
    <t xml:space="preserve">**Overseas Dual Time**: Mr. Nassef has expressed a preference for this model due to its suitability to his wrist size (41 mm).
</t>
  </si>
  <si>
    <t>102494314</t>
  </si>
  <si>
    <t xml:space="preserve">The client is an owner of a fiftysix - from korea- he is already added to the korean waitlist - but he shifted to UAE and would like to be added as well
</t>
  </si>
  <si>
    <t xml:space="preserve">The client wants to own his first VC and add it to his collection which inclouds , Rolexes, AP’s and Pateks’
</t>
  </si>
  <si>
    <t>16/11/2024</t>
  </si>
  <si>
    <t>15/11/2024</t>
  </si>
  <si>
    <t>4600V/200A-B980</t>
  </si>
  <si>
    <t>102424724</t>
  </si>
  <si>
    <t xml:space="preserve">The client would like to purchase the oversease for his wife as  Christmas gift
</t>
  </si>
  <si>
    <t>14/11/2024</t>
  </si>
  <si>
    <t>98700258</t>
  </si>
  <si>
    <t xml:space="preserve">The client would like to purchases the overseas blue simple 
</t>
  </si>
  <si>
    <t>6000V/110A-B544</t>
  </si>
  <si>
    <t xml:space="preserve">The client would like to purchase the overseas and stated that , he considers him self a Vacheron Constantin ambassador 
</t>
  </si>
  <si>
    <t>13/11/2024</t>
  </si>
  <si>
    <t>102395824</t>
  </si>
  <si>
    <t xml:space="preserve">The customer appreciates the simplicity and elegance of the model, as well as the collapsible strap, which aligns with his lifestyle.
The customer has tried on the model in-store and confirmed his intent to purchase it as soon as it becomes available.
</t>
  </si>
  <si>
    <t>12/11/2024</t>
  </si>
  <si>
    <t>102381381</t>
  </si>
  <si>
    <t xml:space="preserve">The client already bought the OVS chronograph - pink gold and blue dial and would like to add this timepiece to his collection
</t>
  </si>
  <si>
    <t>9/11/2024</t>
  </si>
  <si>
    <t>92403624</t>
  </si>
  <si>
    <t>7/11/2024</t>
  </si>
  <si>
    <t>101641502</t>
  </si>
  <si>
    <t>6/11/2024</t>
  </si>
  <si>
    <t>101987055</t>
  </si>
  <si>
    <t>5/11/2024</t>
  </si>
  <si>
    <t>98635975</t>
  </si>
  <si>
    <t xml:space="preserve">My client Al Owis recently reached out to express his satisfaction with the service he received previously. He inquired about the dual time and mentioned that he would like to purchase it as a gift for his uncle, His Excellency Abdul Rahman Al Owais.
</t>
  </si>
  <si>
    <t>92401119</t>
  </si>
  <si>
    <t xml:space="preserve">Client was registred by Yangli for the blue dial and 2 ladies watches 
</t>
  </si>
  <si>
    <t>102281183</t>
  </si>
  <si>
    <t xml:space="preserve">Client is open for other options invited his to the boutique.
</t>
  </si>
  <si>
    <t>98711501</t>
  </si>
  <si>
    <t xml:space="preserve">The client is Al Firdan family memebers   interested in the black and blue dual time 
</t>
  </si>
  <si>
    <t>2/11/2024</t>
  </si>
  <si>
    <t>102232596</t>
  </si>
  <si>
    <t xml:space="preserve">VVIP Client - Mr. Abdulaziz  is very interested in the timepeice 
</t>
  </si>
  <si>
    <t>102220776</t>
  </si>
  <si>
    <t xml:space="preserve">The client is intrested in the OVERSEAS DUAL TIME \n 
</t>
  </si>
  <si>
    <t>31/10/2024</t>
  </si>
  <si>
    <t>102176002</t>
  </si>
  <si>
    <t xml:space="preserve">The client is very interested in the overseas blue bay tower.
</t>
  </si>
  <si>
    <t>30/10/2024</t>
  </si>
  <si>
    <t>102193096</t>
  </si>
  <si>
    <t>6000V/210T-H032</t>
  </si>
  <si>
    <t>102113813</t>
  </si>
  <si>
    <t xml:space="preserve">the client would like to purchases 
overseas tourbillon
</t>
  </si>
  <si>
    <t>26/10/2024</t>
  </si>
  <si>
    <t>0</t>
  </si>
  <si>
    <t xml:space="preserve">The clinet is a high profile., unfortunately SF didnt create id yet. the client will be going to KSA on Monday morning 
</t>
  </si>
  <si>
    <t>25/10/2024</t>
  </si>
  <si>
    <t xml:space="preserve">The client is interested in the blue simple day overseas and would like to come to the boutique to try it. 
</t>
  </si>
  <si>
    <t>24/10/2024</t>
  </si>
  <si>
    <t>22/10/2024</t>
  </si>
  <si>
    <t>102076880</t>
  </si>
  <si>
    <t>102078501</t>
  </si>
  <si>
    <t>20/10/2024</t>
  </si>
  <si>
    <t xml:space="preserve">VVIC | The Mr. Ali showed his interest in the  timepeice and would like to meet and would like to purchase the watch 
</t>
  </si>
  <si>
    <t>19/10/2024</t>
  </si>
  <si>
    <t xml:space="preserve">The client is interested in the blue dial the ID still not appearing will update it accordingly 
</t>
  </si>
  <si>
    <t>102015200</t>
  </si>
  <si>
    <t>Pre-order</t>
  </si>
  <si>
    <t>18/10/2024</t>
  </si>
  <si>
    <t>4300V/220R-B064</t>
  </si>
  <si>
    <t>101987118</t>
  </si>
  <si>
    <t>17/10/2024</t>
  </si>
  <si>
    <t>97412230</t>
  </si>
  <si>
    <t xml:space="preserve">Client has limited budget
</t>
  </si>
  <si>
    <t>101319151</t>
  </si>
  <si>
    <t>101923321</t>
  </si>
  <si>
    <t xml:space="preserve">\\
Interested in buying the **Overseas Chronograph** 
5520V/210R-B966  as a birthday gift for her husband in November. She’s comparing the 41mm 7920V/210R-B965 | and 42.5mm models, as she’s concerned about the size difference. 
</t>
  </si>
  <si>
    <t xml:space="preserve">The client will be taken either the dual time or the 
Overseas chronograph
</t>
  </si>
  <si>
    <t>82035/000R-9359</t>
  </si>
  <si>
    <t>101952731</t>
  </si>
  <si>
    <t xml:space="preserve">Waiting for the client confirmation when he will come to UAE
</t>
  </si>
  <si>
    <t>16/10/2024</t>
  </si>
  <si>
    <t>92407429</t>
  </si>
  <si>
    <t xml:space="preserve">The client is open for the Overseas moon phase retrograde date
As per the client hes going in a trip therefore , will love to purchase it from UAE 
</t>
  </si>
  <si>
    <t>15/10/2024</t>
  </si>
  <si>
    <t>101705197</t>
  </si>
  <si>
    <t xml:space="preserve">he is the son of the Minister of Federal Supreme Council Affairs in UAE
</t>
  </si>
  <si>
    <t>101293683</t>
  </si>
  <si>
    <t xml:space="preserve">The client wanted **[Overseas chronograph](https://richemont.lightning.force.com/lightning/r/RICSC_Transaction__c/01t1i000004DZbzAAG/view).** 
</t>
  </si>
  <si>
    <t xml:space="preserve">The client is not open to other references and he only wants this
</t>
  </si>
  <si>
    <t>11/10/2024</t>
  </si>
  <si>
    <t>10/10/2024</t>
  </si>
  <si>
    <t>101876625</t>
  </si>
  <si>
    <t xml:space="preserve">the client is intersted in the overseas 
</t>
  </si>
  <si>
    <t xml:space="preserve">The client lives in Saudi however he can come to Dubai 
</t>
  </si>
  <si>
    <t>92404145</t>
  </si>
  <si>
    <t xml:space="preserve">The client is residing in Saudi however he can visit UAE
</t>
  </si>
  <si>
    <t>9/10/2024</t>
  </si>
  <si>
    <t>101808480</t>
  </si>
  <si>
    <t xml:space="preserve">the client is intrested in either the self winding or the daul time 
</t>
  </si>
  <si>
    <t xml:space="preserve">another intreset for the client. for the self winding 
</t>
  </si>
  <si>
    <t>8/10/2024</t>
  </si>
  <si>
    <t>101823588</t>
  </si>
  <si>
    <t>5/10/2024</t>
  </si>
  <si>
    <t xml:space="preserve">the client stated that  hes interested in the overseas blue dial (dual time or self winding)
</t>
  </si>
  <si>
    <t>2/10/2024</t>
  </si>
  <si>
    <t xml:space="preserve">- No gold, prefers stainless steel.
- Moon phase complication holds personal significance.
- Interested in watches that symbolize achievement and uniqueness.
- Likes the blue dial for its versatility under different light conditions.
</t>
  </si>
  <si>
    <t>28/9/2024</t>
  </si>
  <si>
    <t>101624260</t>
  </si>
  <si>
    <t xml:space="preserve">Client will be visiting Dubai in November and December
</t>
  </si>
  <si>
    <t>26/9/2024</t>
  </si>
  <si>
    <t>101705220</t>
  </si>
  <si>
    <t>101705253</t>
  </si>
  <si>
    <t>24/9/2024</t>
  </si>
  <si>
    <t>101680942</t>
  </si>
  <si>
    <t xml:space="preserve">The client is willing to pay via a payment link for the Overseas Quartz | X12AC590. This purchase is intended as a marriage gift for his wife, which he plans to present to her during their wedding in December.
</t>
  </si>
  <si>
    <t>101467478</t>
  </si>
  <si>
    <t xml:space="preserve">The client would like to proceed with the Overseas. He mentioned that either he or a family member will be coming to the UAE, and he will confirm the details.
</t>
  </si>
  <si>
    <t>21/9/2024</t>
  </si>
  <si>
    <t xml:space="preserve">The client wanted to celebrate his promotion by gifting himself this timepiece
</t>
  </si>
  <si>
    <t>20/9/2024</t>
  </si>
  <si>
    <t>19/9/2024</t>
  </si>
  <si>
    <t>101584188</t>
  </si>
  <si>
    <t xml:space="preserve">he is looking to buy the timepiece for the celebration for his 10 year anniversary 
</t>
  </si>
  <si>
    <t>101615228</t>
  </si>
  <si>
    <t>18/9/2024</t>
  </si>
  <si>
    <t>101498463</t>
  </si>
  <si>
    <t>17/9/2024</t>
  </si>
  <si>
    <t>101522662</t>
  </si>
  <si>
    <t xml:space="preserve">The client showed interest  in the oversease blue dial , 
</t>
  </si>
  <si>
    <t>13/9/2024</t>
  </si>
  <si>
    <t>101467474</t>
  </si>
  <si>
    <t xml:space="preserve">The client is the **President &amp; Group Chief Executive Officer at Pakistan Telecommunication Co.** **Ltd.** **and Pakistan Telecommunications Mobile Ltd**. He is interested in this timepiece.
</t>
  </si>
  <si>
    <t>12/9/2024</t>
  </si>
  <si>
    <t>92400340</t>
  </si>
  <si>
    <t>10/9/2024</t>
  </si>
  <si>
    <t xml:space="preserve">She is interested in gifting this timepiece to her husband, for their anniversary celebration.
</t>
  </si>
  <si>
    <t>100995935</t>
  </si>
  <si>
    <t xml:space="preserve">The client purchased the  Fiftysix self-winding and  now planing for the oversease blue dail 
</t>
  </si>
  <si>
    <t xml:space="preserve">The client is interested in purchasing the Overseas Blue Dial.
</t>
  </si>
  <si>
    <t>101424152</t>
  </si>
  <si>
    <t>101413931</t>
  </si>
  <si>
    <t xml:space="preserve">The client is intrested in the overseas 
</t>
  </si>
  <si>
    <t>4600E/110A-B487</t>
  </si>
  <si>
    <t xml:space="preserve">the client is interested in both the oversease and fiftysix 
</t>
  </si>
  <si>
    <t xml:space="preserve">the client would like to purchase both fiftysix and oversease black dial 
</t>
  </si>
  <si>
    <t xml:space="preserve">the client would like to purchase the oversease black dial 
</t>
  </si>
  <si>
    <t xml:space="preserve">The client shows intreset in the oversease self winding 
</t>
  </si>
  <si>
    <t>101467913</t>
  </si>
  <si>
    <t xml:space="preserve">The client is interested in the fiftysix  black dial 
</t>
  </si>
  <si>
    <t>7/9/2024</t>
  </si>
  <si>
    <t>101428000</t>
  </si>
  <si>
    <t>5/9/2024</t>
  </si>
  <si>
    <t>101369992</t>
  </si>
  <si>
    <t xml:space="preserve">The client is intrested in the fiftysix self winding gray
</t>
  </si>
  <si>
    <t>4/9/2024</t>
  </si>
  <si>
    <t>101314200</t>
  </si>
  <si>
    <t xml:space="preserve">The client is interested in the black dial Overseas and has an appointment at Suite 1755.
</t>
  </si>
  <si>
    <t xml:space="preserve">The client wanted to Purchase  either the oversease 4520V/210A-B483 or the fifitysix , with Mohammed support she made a full payment  4600E/000R-H101
</t>
  </si>
  <si>
    <t>101009393</t>
  </si>
  <si>
    <t>3/9/2024</t>
  </si>
  <si>
    <t>101364406</t>
  </si>
  <si>
    <t>30/8/2024</t>
  </si>
  <si>
    <t xml:space="preserve">The client would like to purchase Overseas self-winding black Dial
</t>
  </si>
  <si>
    <t>29/8/2024</t>
  </si>
  <si>
    <t>101302751</t>
  </si>
  <si>
    <t>28/8/2024</t>
  </si>
  <si>
    <t>101283226</t>
  </si>
  <si>
    <t xml:space="preserve">Client is open to the other collections.
</t>
  </si>
  <si>
    <t>23/8/2024</t>
  </si>
  <si>
    <t>101220865</t>
  </si>
  <si>
    <t xml:space="preserve">The client is very interested in the OVERSEAS STEEL 
</t>
  </si>
  <si>
    <t>22/8/2024</t>
  </si>
  <si>
    <t>101145972</t>
  </si>
  <si>
    <t xml:space="preserve">The client is very interested in the overseas self winding and will love to purchase it upon availability 
</t>
  </si>
  <si>
    <t>21/8/2024</t>
  </si>
  <si>
    <t>101196299</t>
  </si>
  <si>
    <t>15/8/2024</t>
  </si>
  <si>
    <t>101110183</t>
  </si>
  <si>
    <t xml:space="preserve">The client expressed a strong interest in the Overseas chronograph and insisted on being added to the list
</t>
  </si>
  <si>
    <t>14/8/2024</t>
  </si>
  <si>
    <t>101104408</t>
  </si>
  <si>
    <t xml:space="preserve">The client is interested in both the  Overseas chronographand the  Historiques American 1921
</t>
  </si>
  <si>
    <t>101104467</t>
  </si>
  <si>
    <t xml:space="preserve">The client mentioned that he has AP-Royal Oak and Rolex timepieces and he really fond of our timepieces and would like to acquire one.
</t>
  </si>
  <si>
    <t>10/8/2024</t>
  </si>
  <si>
    <t xml:space="preserve">The client would like to acquire this timepiece as a gift for his father’s 58th birthday
</t>
  </si>
  <si>
    <t>8/8/2024</t>
  </si>
  <si>
    <t xml:space="preserve">The client is willing to come to UAE if opportunity arises so he can gift himself a Vacheron Constantin timepiece since he turned 50 this year
</t>
  </si>
  <si>
    <t>101032092</t>
  </si>
  <si>
    <t>100436027</t>
  </si>
  <si>
    <t xml:space="preserve">The client was told to come to pay a deposit. He stated hes willing to do that and dont mind that 
</t>
  </si>
  <si>
    <t>7920V/000R-B336</t>
  </si>
  <si>
    <t>101036635</t>
  </si>
  <si>
    <t xml:space="preserve">The client stated that hes will to come to the boutique to pay the full amount 
</t>
  </si>
  <si>
    <t>7/8/2024</t>
  </si>
  <si>
    <t>101011549</t>
  </si>
  <si>
    <t xml:space="preserve">The client is looking for a gift for his father and willing to come to UAE for purchase
</t>
  </si>
  <si>
    <t xml:space="preserve">The client is looking for a gift for his father’s birthday and willing to come to UAE
</t>
  </si>
  <si>
    <t>6/8/2024</t>
  </si>
  <si>
    <t xml:space="preserve">The client is willing to come to the UAE to get the timepiece. 
</t>
  </si>
  <si>
    <t xml:space="preserve">The client is willing to come to India to get the timepiece
</t>
  </si>
  <si>
    <t>100962157</t>
  </si>
  <si>
    <t xml:space="preserve">The client is willing to travel to UAE to get this timepiece
</t>
  </si>
  <si>
    <t>4300V/220R-B509</t>
  </si>
  <si>
    <t xml:space="preserve">The client is willing to come to India to purchase the timepiece
</t>
  </si>
  <si>
    <t>24/7/2024</t>
  </si>
  <si>
    <t>100830227</t>
  </si>
  <si>
    <t xml:space="preserve">The client is interested in the fiftysix 600E/000A-B442 as well  Overseas chronograph X55AC481
</t>
  </si>
  <si>
    <t>100833648</t>
  </si>
  <si>
    <t xml:space="preserve">The client stated that once we confirm the availability of the watch he will be traveling to UAE to purchase 
</t>
  </si>
  <si>
    <t>23/7/2024</t>
  </si>
  <si>
    <t>100793790</t>
  </si>
  <si>
    <t xml:space="preserve">The client is interested in the oversease self winding  living in Dubai 
</t>
  </si>
  <si>
    <t>100788006</t>
  </si>
  <si>
    <t xml:space="preserve">The client ins interested in 2 timepeices ( 6000V/110A-B544 \ 4520V/210A-B128)
</t>
  </si>
  <si>
    <t>20/7/2024</t>
  </si>
  <si>
    <t>100788004</t>
  </si>
  <si>
    <t xml:space="preserve">The client would like to purchase one of the 2 overseas , either [Overseas tourbillon](https://richemont.lightning.force.com/lightning/r/01t1i000003IYweAAG/view) or the Overseas self-winding 
</t>
  </si>
  <si>
    <t>17/7/2024</t>
  </si>
  <si>
    <t>100737696</t>
  </si>
  <si>
    <t xml:space="preserve">the client is interested in purchasing the **[Overseas self-winding ](https://richemont.lightning.force.com/lightning/r/01t1i000004DWYiAAO/view)**
</t>
  </si>
  <si>
    <t>16/7/2024</t>
  </si>
  <si>
    <t>100599306</t>
  </si>
  <si>
    <t xml:space="preserve">The client wish to be added to the waiting list 
</t>
  </si>
  <si>
    <t>5100T/000P-H041</t>
  </si>
  <si>
    <t>100736346</t>
  </si>
  <si>
    <t xml:space="preserve">The client is interested in Traditionnelle tourbillon chronograph, 
</t>
  </si>
  <si>
    <t>13/7/2024</t>
  </si>
  <si>
    <t>100668746</t>
  </si>
  <si>
    <t xml:space="preserve">The client is interested in the  Overseas dual time “ very interested 
</t>
  </si>
  <si>
    <t>10/7/2024</t>
  </si>
  <si>
    <t>100634537</t>
  </si>
  <si>
    <t xml:space="preserve">Mr. Ahmad, who has previously expressed his interest in the Overseas Dual Time, has been in communication with Yasser. We have committed to contacting Mr. Ahmad once the timepiece becomes available.
</t>
  </si>
  <si>
    <t>5/7/2024</t>
  </si>
  <si>
    <t>100582839</t>
  </si>
  <si>
    <t>4/7/2024</t>
  </si>
  <si>
    <t>100537423</t>
  </si>
  <si>
    <t xml:space="preserve">Client for Maaz
</t>
  </si>
  <si>
    <t>28/6/2024</t>
  </si>
  <si>
    <t>100480073</t>
  </si>
  <si>
    <t xml:space="preserve">Client lives in Cyprus and has an office in UAE
</t>
  </si>
  <si>
    <t>100482907</t>
  </si>
  <si>
    <t>25/6/2024</t>
  </si>
  <si>
    <t xml:space="preserve">Client would like to build a relation with the btq to purchase a piece in the occasion of celebrating the opening of a new branch of his business.
</t>
  </si>
  <si>
    <t>22/6/2024</t>
  </si>
  <si>
    <t>4300V/220R-B547</t>
  </si>
  <si>
    <t>100394867</t>
  </si>
  <si>
    <t xml:space="preserve">Client is interested in this model and also the Overseas tourbillon Skeleton.
</t>
  </si>
  <si>
    <t>20/6/2024</t>
  </si>
  <si>
    <t>100279807</t>
  </si>
  <si>
    <t xml:space="preserve">Client is in India would like to add his name to the waiting list in Dubai.
</t>
  </si>
  <si>
    <t>100355498</t>
  </si>
  <si>
    <t xml:space="preserve">Client would like to add his name to the waiting list of the Overseas self winding in steel with blue dial
</t>
  </si>
  <si>
    <t>100341519</t>
  </si>
  <si>
    <t xml:space="preserve">The client is interested in the timepiece
</t>
  </si>
  <si>
    <t>19/6/2024</t>
  </si>
  <si>
    <t>100339877</t>
  </si>
  <si>
    <t xml:space="preserve">The client is interested in the Overseas self-winding . ready to pay deposit 
</t>
  </si>
  <si>
    <t>100329803</t>
  </si>
  <si>
    <t xml:space="preserve">The client is interested and would like to proceed Overseas self-winding
</t>
  </si>
  <si>
    <t>18/6/2024</t>
  </si>
  <si>
    <t xml:space="preserve">The client is interested in the timepiece and not open for other options 
</t>
  </si>
  <si>
    <t>15/6/2024</t>
  </si>
  <si>
    <t>100272691</t>
  </si>
  <si>
    <t>14/6/2024</t>
  </si>
  <si>
    <t>100232514</t>
  </si>
  <si>
    <t xml:space="preserve">Client asked to add her name into the waiting list for the historiques 222
</t>
  </si>
  <si>
    <t>13/6/2024</t>
  </si>
  <si>
    <t>100245350</t>
  </si>
  <si>
    <t xml:space="preserve">The client is very interested in this timepiece.
</t>
  </si>
  <si>
    <t>8/6/2024</t>
  </si>
  <si>
    <t>99019997</t>
  </si>
  <si>
    <t xml:space="preserve">The client would like to register to the waiting list 
</t>
  </si>
  <si>
    <t>8/4/2024</t>
  </si>
  <si>
    <t>97223180</t>
  </si>
  <si>
    <t>30/3/2024</t>
  </si>
  <si>
    <t>4000E/000A-B548</t>
  </si>
  <si>
    <t>98828137</t>
  </si>
  <si>
    <t>8/3/2024</t>
  </si>
  <si>
    <t>98340991</t>
  </si>
  <si>
    <t>7/3/2024</t>
  </si>
  <si>
    <t>1/3/2024</t>
  </si>
  <si>
    <t>92410222</t>
  </si>
  <si>
    <t>25/2/2024</t>
  </si>
  <si>
    <t>98213478</t>
  </si>
  <si>
    <t>98213878</t>
  </si>
  <si>
    <t>21/2/2024</t>
  </si>
  <si>
    <t>97560994</t>
  </si>
  <si>
    <t>14/2/2024</t>
  </si>
  <si>
    <t>97863424</t>
  </si>
  <si>
    <t>7/2/2024</t>
  </si>
  <si>
    <t>3110V/000A-B426</t>
  </si>
  <si>
    <t>97739424</t>
  </si>
  <si>
    <t>26/1/2024</t>
  </si>
  <si>
    <t>97341155</t>
  </si>
  <si>
    <t>19/1/2024</t>
  </si>
  <si>
    <t>97266884</t>
  </si>
  <si>
    <t xml:space="preserve">Client’s wedding is in November 2024 and would like to purchase the timepiece and wear it on his day
</t>
  </si>
  <si>
    <t>92401070</t>
  </si>
  <si>
    <t>10/1/2024</t>
  </si>
  <si>
    <t>1205V/100A-B591</t>
  </si>
  <si>
    <t>96731103</t>
  </si>
  <si>
    <t>1/1/2024</t>
  </si>
  <si>
    <t>94291400</t>
  </si>
  <si>
    <t>26/12/2023</t>
  </si>
  <si>
    <t>94195497</t>
  </si>
  <si>
    <t>17/12/2023</t>
  </si>
  <si>
    <t>94028251</t>
  </si>
  <si>
    <t>15/12/2023</t>
  </si>
  <si>
    <t>92398068</t>
  </si>
  <si>
    <t>9/12/2023</t>
  </si>
  <si>
    <t>92402171</t>
  </si>
  <si>
    <t>24/11/2023</t>
  </si>
  <si>
    <t>79989586</t>
  </si>
  <si>
    <t>21/11/2023</t>
  </si>
  <si>
    <t>93573185</t>
  </si>
  <si>
    <t>93573388</t>
  </si>
  <si>
    <t>ALOTAIBI Reem</t>
  </si>
  <si>
    <t>13/11/2023</t>
  </si>
  <si>
    <t>4500V/000R-B127</t>
  </si>
  <si>
    <t>93306019</t>
  </si>
  <si>
    <t>92407789</t>
  </si>
  <si>
    <t>7/11/2023</t>
  </si>
  <si>
    <t>93307928</t>
  </si>
  <si>
    <t>3/11/2023</t>
  </si>
  <si>
    <t>93266623</t>
  </si>
  <si>
    <t xml:space="preserve">Client does not want to subscribe to marketing, he just needs a contact if the piece is available.
</t>
  </si>
  <si>
    <t>1/11/2023</t>
  </si>
  <si>
    <t>93234862</t>
  </si>
  <si>
    <t>29/10/2023</t>
  </si>
  <si>
    <t>1301022</t>
  </si>
  <si>
    <t>22/10/2023</t>
  </si>
  <si>
    <t>1297716</t>
  </si>
  <si>
    <t xml:space="preserve">The client’s main residence is in Saudi Arabia, and he wants to register on the waiting list of UAE
</t>
  </si>
  <si>
    <t>21/10/2023</t>
  </si>
  <si>
    <t>1297177</t>
  </si>
  <si>
    <t>20/10/2023</t>
  </si>
  <si>
    <t>1291072</t>
  </si>
  <si>
    <t>15/10/2023</t>
  </si>
  <si>
    <t>1291327</t>
  </si>
  <si>
    <t>11/10/2023</t>
  </si>
  <si>
    <t>1289465</t>
  </si>
  <si>
    <t>9/10/2023</t>
  </si>
  <si>
    <t>1288389</t>
  </si>
  <si>
    <t>8/10/2023</t>
  </si>
  <si>
    <t>1150674</t>
  </si>
  <si>
    <t>Timepiece Updates</t>
  </si>
  <si>
    <t>Overseas quartz</t>
  </si>
  <si>
    <t>Overseas moon phase retrograde date</t>
  </si>
  <si>
    <t>Overseas self-winding</t>
  </si>
  <si>
    <t>Overseas chronograph Pink Gold</t>
  </si>
  <si>
    <t>Traditionnelle complete calendar</t>
  </si>
  <si>
    <t>Fiftysix complete calendar</t>
  </si>
  <si>
    <t>Overseas dual time Blue</t>
  </si>
  <si>
    <t>Historiques American 1921 - Arabic</t>
  </si>
  <si>
    <t>Overseas chronograph</t>
  </si>
  <si>
    <t>Overseas self-winding Green</t>
  </si>
  <si>
    <t>Fiftysix self-winding</t>
  </si>
  <si>
    <t>Historiques 222</t>
  </si>
  <si>
    <t xml:space="preserve">Total Sales </t>
  </si>
  <si>
    <t>Count of Client ID</t>
  </si>
  <si>
    <t>Total Count of Client ID</t>
  </si>
  <si>
    <t>Overseas dual time Green</t>
  </si>
  <si>
    <t>Confirmed Allocation | Pending payment</t>
  </si>
  <si>
    <t>Requested Timepieces by CRC and updates Per Timepiece</t>
  </si>
  <si>
    <t>No.</t>
  </si>
  <si>
    <t>Timepiece Ref</t>
  </si>
  <si>
    <t xml:space="preserve">Status </t>
  </si>
  <si>
    <t>Stock Location</t>
  </si>
  <si>
    <t>Same Month Invoiced rate</t>
  </si>
  <si>
    <t xml:space="preserve">Payment Method </t>
  </si>
  <si>
    <t xml:space="preserve">Stock </t>
  </si>
  <si>
    <t>Waiting Days</t>
  </si>
  <si>
    <t xml:space="preserve">Price 2 </t>
  </si>
  <si>
    <t>Avalible?</t>
  </si>
  <si>
    <t> </t>
  </si>
  <si>
    <t>Availability – Paste only as a value below for any watch that is in stock.</t>
  </si>
  <si>
    <t>UAE - Collector AP, RM</t>
  </si>
  <si>
    <t>4017C/000G-130C</t>
  </si>
  <si>
    <t>Erkan Kaya</t>
  </si>
  <si>
    <t>Majid Rahman (intrested in Novelties)</t>
  </si>
  <si>
    <t>KSA 222</t>
  </si>
  <si>
    <t>Ms. Theresa Jaeger : Gift for her husband birthday</t>
  </si>
  <si>
    <t>Mr. Abdulelah Bineid : ksa</t>
  </si>
  <si>
    <t>client showed interest</t>
  </si>
  <si>
    <t>Ahmed El-Badawy</t>
  </si>
  <si>
    <t>dual time ksa</t>
  </si>
  <si>
    <t>222 KSA client - P</t>
  </si>
  <si>
    <t>Mr. Sultan Al Saud ksa</t>
  </si>
  <si>
    <t>0098845999 - 0101108337 client is an owner of OVS dual time. But now he is interested in 222 and requested to be added to the waiting list</t>
  </si>
  <si>
    <t>Mr. Amit Agarwal (india)</t>
  </si>
  <si>
    <t>Mr. Aliwavip Etowati (Egypt)</t>
  </si>
  <si>
    <t>[Obaid Mubarak Al muhairi](mailto:Obaidmuhairi@gmail.com) | a collector</t>
  </si>
  <si>
    <t>Mr. Sameer Rafique</t>
  </si>
  <si>
    <t>Mr. Vincent Kedikilwe</t>
  </si>
  <si>
    <t>Salman Almashari ksa</t>
  </si>
  <si>
    <t>He will visiting the UAE end of April to purchase the Overseas (If available)</t>
  </si>
  <si>
    <t>Ahmed Alhammadi</t>
  </si>
  <si>
    <t>Mr. Mohamed Eljadi</t>
  </si>
  <si>
    <t>Mr. Conrad Lee</t>
  </si>
  <si>
    <t>For his graduation next year :Mr. Lakshya Gupta</t>
  </si>
  <si>
    <t>the client is coming next week. already own the  \n Overseas chronograph  VMX55AV148</t>
  </si>
  <si>
    <t>4200H/222A-B934 222</t>
  </si>
  <si>
    <t>lives between Dubai and Geneva.</t>
  </si>
  <si>
    <t>elrahmanhefny ksa</t>
  </si>
  <si>
    <t>The client wishes to purchase his first Vacheron Constantin timepiece in Dubai, as he has a deep appreciation for the city and wants his first VC watch to hold a special connection to it. He is ready to purchase it right away.</t>
  </si>
  <si>
    <t>b128 no history</t>
  </si>
  <si>
    <t>Sultan Aldhaher (ksa)</t>
  </si>
  <si>
    <t>interested in the 222</t>
  </si>
  <si>
    <t>Dual time green</t>
  </si>
  <si>
    <t>Mr. Fida Hussain</t>
  </si>
  <si>
    <t>Abdullaziz Alshreef : KSA</t>
  </si>
  <si>
    <t>Alhasan Alkindi</t>
  </si>
  <si>
    <t>Andrey Karpov</t>
  </si>
  <si>
    <t>DR Ali Aldhanhani</t>
  </si>
  <si>
    <t>Mr. Peter AROKIANATHAN (ksa)</t>
  </si>
  <si>
    <t>Would like the pick up to be end of Dec first of Jan</t>
  </si>
  <si>
    <t>the client is interested in the dual and Chronograph black dial</t>
  </si>
  <si>
    <t>interested in the 222 and dual time</t>
  </si>
  <si>
    <t>the client intrested in the 222</t>
  </si>
  <si>
    <t>the client is interested</t>
  </si>
  <si>
    <t>The client specializes in auto tuning, automatic watches, and exclusive key fobs. His uncle has a strong interest in Traditionnelle and Overseas collections, particularly the tourbillon editions</t>
  </si>
  <si>
    <t>the client main aim is the 222 and the 128</t>
  </si>
  <si>
    <t>222 Fam</t>
  </si>
  <si>
    <t>Mr. Sultan Al Faisal (ksa)</t>
  </si>
  <si>
    <t>Mr. Tauqeer Dawood</t>
  </si>
  <si>
    <t>222 Blue</t>
  </si>
  <si>
    <t>The client is always between  Riyadh and Dubai and want the 222</t>
  </si>
  <si>
    <t>The client is very interested KW</t>
  </si>
  <si>
    <t>222 gcc</t>
  </si>
  <si>
    <t>Mr. Ronnie Anbouba</t>
  </si>
  <si>
    <t>Mr. Arkan Khedair</t>
  </si>
  <si>
    <t>the client would like to reserve  Overseas chronograph</t>
  </si>
  <si>
    <t>Mr. Humaid Shaikh</t>
  </si>
  <si>
    <t>Mr. Mohamed Alsuwaidi</t>
  </si>
  <si>
    <t>Hussain Mohamed</t>
  </si>
  <si>
    <t>the client is very interested in the Overseas chronograph
and willing to secure it via payment link</t>
  </si>
  <si>
    <t>Roman Heinrichs</t>
  </si>
  <si>
    <t>Arthur Sarkisian</t>
  </si>
  <si>
    <t>Mr. Mostafa Gheita</t>
  </si>
  <si>
    <t>Mr. Omar Alamoodi</t>
  </si>
  <si>
    <t>Mr. Benjamin Ping</t>
  </si>
  <si>
    <t>Ahmad Alsadhan (ksa)</t>
  </si>
  <si>
    <t>Mr. Rayan Mansouri / ksa/ contacted on whatsapp as well.</t>
  </si>
  <si>
    <t>Rayan Mansouri ksa</t>
  </si>
  <si>
    <t>The client interested in the 222 gold and steel as well the Patrimony and Historiques</t>
  </si>
  <si>
    <t>Clinet is intrested in the 222</t>
  </si>
  <si>
    <t>the client want to purchase this timepeice , to gift it to his father</t>
  </si>
  <si>
    <t>The client will visit UAE in 2 years and would want to collect it</t>
  </si>
  <si>
    <t>Ahmad Al Sadhan (KSA)</t>
  </si>
  <si>
    <t>Mr. Ravi Borkar interested in the 222 gold and steel. by March.</t>
  </si>
  <si>
    <t>the client is interested Overseas perpetual calendar</t>
  </si>
  <si>
    <t>The client is very intrested in blue and black dual time , aslo he his availability for appointments at the Dubai Mall boutique on the evening of **February 9**, the m**orning of February 11,** **and February 13**, if the watch is available to purchase</t>
  </si>
  <si>
    <t>the client mentions his availability for appointments at the Dubai Mall boutique on the evening of February 9, the morning of February 11, and February 13, if the watch is available.</t>
  </si>
  <si>
    <t>Mr. Abdullah Alomari (ksa)</t>
  </si>
  <si>
    <t>Mr. Fawaz Aljaseer (ksa)</t>
  </si>
  <si>
    <t>Sheikh Sultan Althani (KSA)</t>
  </si>
  <si>
    <t>The client was referred by my client and he's interested in the Gold 222</t>
  </si>
  <si>
    <t>Mr. Abdulrhman Bajaber (KSA)</t>
  </si>
  <si>
    <t>the client is intrested in this timepeice and aiming as well for the 222</t>
  </si>
  <si>
    <t>Mr Ragheb Alshakhshir</t>
  </si>
  <si>
    <t>Mr. Mohammed Bafail (Ksa)</t>
  </si>
  <si>
    <t>Very interested client</t>
  </si>
  <si>
    <t>Rakan Alrashed (ksa)</t>
  </si>
  <si>
    <t>Leo Dogan</t>
  </si>
  <si>
    <t>Kayed Hamad</t>
  </si>
  <si>
    <t>Mr. Joshua Armstrong</t>
  </si>
  <si>
    <t>Muhannad Al Shami</t>
  </si>
  <si>
    <t>Abdullatif alharthi</t>
  </si>
  <si>
    <t>Mr. Venu Madhav</t>
  </si>
  <si>
    <t>Mr. Tim Renat</t>
  </si>
  <si>
    <t>Mr. Siddhant Sabbarwal (uae located in India)</t>
  </si>
  <si>
    <t>the client is very interested</t>
  </si>
  <si>
    <t>the client already purchased the b128</t>
  </si>
  <si>
    <t>Only calls (Mr. Eujin Lajuenko)</t>
  </si>
  <si>
    <t>Owner of OVS and fifty six blue dial</t>
  </si>
  <si>
    <t>Mr. Shadi Hassan</t>
  </si>
  <si>
    <t>the client is intrested in the Timepeice</t>
  </si>
  <si>
    <t>The client is interested in the 222</t>
  </si>
  <si>
    <t>Requested UAE market</t>
  </si>
  <si>
    <t>Mr. Mohammed Alhashimi (KSA)</t>
  </si>
  <si>
    <t>ksa : Yousef Alibrahim</t>
  </si>
  <si>
    <t>The client is a watch collector</t>
  </si>
  <si>
    <t>Mr. Faihan Al Raqas ( 966598444066)</t>
  </si>
  <si>
    <t>The client is already interested in the 222 and willing to pay in advance</t>
  </si>
  <si>
    <t>the client is very intrested</t>
  </si>
  <si>
    <t>Mr. Eddy Hourani</t>
  </si>
  <si>
    <t>Mr. Basil Bostami (Client for ksa)</t>
  </si>
  <si>
    <t>Mr. Amir Farag</t>
  </si>
  <si>
    <t>A gift for his father</t>
  </si>
  <si>
    <t>Cllient is very interested</t>
  </si>
  <si>
    <t>The client showed interest in the Dual Time and he will be visiting Geneva from 5 of Feb until the 7th Feb 2025</t>
  </si>
  <si>
    <t>The client stated that he will go and try it</t>
  </si>
  <si>
    <t>Mr. Taylan Sayin</t>
  </si>
  <si>
    <t>as per the client expressing interest in two models:
- **Overseas Dual Time (Steel)**
- **1921 (40mm and 36mm)**
Mr. Khan described his existing collection, which includes:
- **Omega**
- **Panerai**
- **Vintage Raymond Weil**</t>
  </si>
  <si>
    <t>The client is interested in the timepeice but still thinking of his budget</t>
  </si>
  <si>
    <t>Fida Hussain junjua</t>
  </si>
  <si>
    <t>The client added his interest in Lebanon two years ago but no one contacted him. He is interested in this timepiece and can come to UAE</t>
  </si>
  <si>
    <t>The client wants to purchase the Overseas chronograph 5520V/210A-B148
and has another request for the black one. He wants to try the blue one now and complete the payment</t>
  </si>
  <si>
    <t>The client is watch collecter</t>
  </si>
  <si>
    <t>The client would like to be listed for the chronograph</t>
  </si>
  <si>
    <t>The client is a collecter with big interest  on the overseas collection</t>
  </si>
  <si>
    <t>The client got promoted recently and would like to get this timepiece.</t>
  </si>
  <si>
    <t>To gift it to his father as a replacement of the 222 steel that he has.</t>
  </si>
  <si>
    <t>The client is of exceptional stature, with deep-rooted connections to family-operated holding companies and a distinguished legacy in multi-generational wealth management, reflecting both influence and enduring financial sophistication.</t>
  </si>
  <si>
    <t>The client would like to buy this timepiece a gift for his brother - His birthday is on August 11</t>
  </si>
  <si>
    <t>The client is a watch collcter, appreciative of the brand history and heritage and considers having this timepiece will make him a successful watch collector.</t>
  </si>
  <si>
    <t>The client is interested in getting the Overseas for special occasion and will also purchase the fiftysix 4600E/110A-B487 for day to day use.</t>
  </si>
  <si>
    <t>Mr. Chirag Arora : also interested in the historiques 222</t>
  </si>
  <si>
    <t>Mr. Chirag Arora : is also interested in the overeseas gold selfwinding green dial.</t>
  </si>
  <si>
    <t>The client is based in India , and willing to come to the UAE for 128</t>
  </si>
  <si>
    <t>Mr. Asim Alowais</t>
  </si>
  <si>
    <t>Mr. Anthony Delpiano contacted us via email</t>
  </si>
  <si>
    <t>Mr Abdelhadi Mohamed interested in the Overseas Blue dial but he is also open for alternatives.</t>
  </si>
  <si>
    <t>Client was initially interested in the 222 but now he would like to register for the Overseasmoon phase retrograde date: for his son birthday on 28 Nov.</t>
  </si>
  <si>
    <t>Added to the waiting list for the OVS retrograde moonphase</t>
  </si>
  <si>
    <t>the client would like to purchases the Overseasquartz
1225V/200A-B590 33 mm Steel</t>
  </si>
  <si>
    <t>**Overseas Dual Time**: Mr. Nassef has expressed a preference for this model due to its suitability to his wrist size (41 mm).</t>
  </si>
  <si>
    <t>The client is an owner of a fiftysix - from korea- he is already added to the korean waitlist - but he shifted to UAE and would like to be added as well</t>
  </si>
  <si>
    <t>The client wants to own his first VC and add it to his collection which inclouds , Rolexes, AP’s and Pateks’</t>
  </si>
  <si>
    <t>The client would like to purchase the oversease for his wife as  Christmas gift</t>
  </si>
  <si>
    <t>The client would like to purchases the overseas blue simple</t>
  </si>
  <si>
    <t>The client would like to purchase the overseas and stated that , he considers him self a Vacheron Constantin ambassador</t>
  </si>
  <si>
    <t>The customer appreciates the simplicity and elegance of the model, as well as the collapsible strap, which aligns with his lifestyle.
The customer has tried on the model in-store and confirmed his intent to purchase it as soon as it becomes available.</t>
  </si>
  <si>
    <t>The client already bought the OVS chronograph - pink gold and blue dial and would like to add this timepiece to his collection</t>
  </si>
  <si>
    <t>My client Al Owis recently reached out to express his satisfaction with the service he received previously. He inquired about the dual time and mentioned that he would like to purchase it as a gift for his uncle, His Excellency Abdul Rahman Al Owais.</t>
  </si>
  <si>
    <t>Client was registred by Yangli for the blue dial and 2 ladies watches</t>
  </si>
  <si>
    <t>Client is open for other options invited his to the boutique.</t>
  </si>
  <si>
    <t>The client is Al Firdan family memebers   interested in the black and blue dual time</t>
  </si>
  <si>
    <t>VVIP Client - Mr. Abdulaziz  is very interested in the timepeice</t>
  </si>
  <si>
    <t>The client is intrested in the OVERSEAS DUAL TIME \n</t>
  </si>
  <si>
    <t>The client is very interested in the overseas blue bay tower.</t>
  </si>
  <si>
    <t>the client would like to purchases
overseas tourbillon</t>
  </si>
  <si>
    <t>The clinet is a high profile., unfortunately SF didnt create id yet. the client will be going to KSA on Monday morning</t>
  </si>
  <si>
    <t>The client is interested in the blue simple day overseas and would like to come to the boutique to try it.</t>
  </si>
  <si>
    <t>VVIC | The Mr. Ali showed his interest in the  timepeice and would like to meet and would like to purchase the watch</t>
  </si>
  <si>
    <t>The client is interested in the blue dial the ID still not appearing will update it accordingly</t>
  </si>
  <si>
    <t>Client has limited budget</t>
  </si>
  <si>
    <t>\\
Interested in buying the **Overseas Chronograph**
5520V/210R-B966  as a birthday gift for her husband in November. She’s comparing the 41mm 7920V/210R-B965 | and 42.5mm models, as she’s concerned about the size difference.</t>
  </si>
  <si>
    <t>The client will be taken either the dual time or the
Overseas chronograph</t>
  </si>
  <si>
    <t>Waiting for the client confirmation when he will come to UAE</t>
  </si>
  <si>
    <t>The client is open for the Overseas moon phase retrograde date
As per the client hes going in a trip therefore , will love to purchase it from UAE</t>
  </si>
  <si>
    <t>he is the son of the Minister of Federal Supreme Council Affairs in UAE</t>
  </si>
  <si>
    <t>The client wanted **[Overseas chronograph](https://richemont.lightning.force.com/lightning/r/RICSC_Transaction__c/01t1i000004DZbzAAG/view).**</t>
  </si>
  <si>
    <t>The client is not open to other references and he only wants this</t>
  </si>
  <si>
    <t>the client is intersted in the overseas</t>
  </si>
  <si>
    <t>The client lives in Saudi however he can come to Dubai</t>
  </si>
  <si>
    <t>The client is residing in Saudi however he can visit UAE</t>
  </si>
  <si>
    <t>the client is intrested in either the self winding or the daul time</t>
  </si>
  <si>
    <t>another intreset for the client. for the self winding</t>
  </si>
  <si>
    <t>the client stated that  hes interested in the overseas blue dial (dual time or self winding)</t>
  </si>
  <si>
    <t>- No gold, prefers stainless steel.
- Moon phase complication holds personal significance.
- Interested in watches that symbolize achievement and uniqueness.
- Likes the blue dial for its versatility under different light conditions.</t>
  </si>
  <si>
    <t>Client will be visiting Dubai in November and December</t>
  </si>
  <si>
    <t>The client is willing to pay via a payment link for the Overseas Quartz | X12AC590. This purchase is intended as a marriage gift for his wife, which he plans to present to her during their wedding in December.</t>
  </si>
  <si>
    <t>The client would like to proceed with the Overseas. He mentioned that either he or a family member will be coming to the UAE, and he will confirm the details.</t>
  </si>
  <si>
    <t>The client wanted to celebrate his promotion by gifting himself this timepiece</t>
  </si>
  <si>
    <t>he is looking to buy the timepiece for the celebration for his 10 year anniversary</t>
  </si>
  <si>
    <t>The client showed interest  in the oversease blue dial ,</t>
  </si>
  <si>
    <t>The client is the **President &amp; Group Chief Executive Officer at Pakistan Telecommunication Co.** **Ltd.** **and Pakistan Telecommunications Mobile Ltd**. He is interested in this timepiece.</t>
  </si>
  <si>
    <t>She is interested in gifting this timepiece to her husband, for their anniversary celebration.</t>
  </si>
  <si>
    <t>The client purchased the  Fiftysix self-winding and  now planing for the oversease blue dail</t>
  </si>
  <si>
    <t>The client is interested in purchasing the Overseas Blue Dial.</t>
  </si>
  <si>
    <t>The client is intrested in the overseas</t>
  </si>
  <si>
    <t>the client is interested in both the oversease and fiftysix</t>
  </si>
  <si>
    <t>the client would like to purchase both fiftysix and oversease black dial</t>
  </si>
  <si>
    <t>the client would like to purchase the oversease black dial</t>
  </si>
  <si>
    <t>The client shows intreset in the oversease self winding</t>
  </si>
  <si>
    <t>The client is interested in the fiftysix  black dial</t>
  </si>
  <si>
    <t>The client is intrested in the fiftysix self winding gray</t>
  </si>
  <si>
    <t>The client is interested in the black dial Overseas and has an appointment at Suite 1755.</t>
  </si>
  <si>
    <t>The client wanted to Purchase  either the oversease 4520V/210A-B483 or the fifitysix , with Mohammed support she made a full payment  4600E/000R-H101</t>
  </si>
  <si>
    <t>The client would like to purchase Overseas self-winding black Dial</t>
  </si>
  <si>
    <t>Client is open to the other collections.</t>
  </si>
  <si>
    <t>The client is very interested in the OVERSEAS STEEL</t>
  </si>
  <si>
    <t>The client is very interested in the overseas self winding and will love to purchase it upon availability</t>
  </si>
  <si>
    <t>The client expressed a strong interest in the Overseas chronograph and insisted on being added to the list</t>
  </si>
  <si>
    <t>The client is interested in both the  Overseas chronographand the  Historiques American 1921</t>
  </si>
  <si>
    <t>The client mentioned that he has AP-Royal Oak and Rolex timepieces and he really fond of our timepieces and would like to acquire one.</t>
  </si>
  <si>
    <t>The client would like to acquire this timepiece as a gift for his father’s 58th birthday</t>
  </si>
  <si>
    <t>The client is willing to come to UAE if opportunity arises so he can gift himself a Vacheron Constantin timepiece since he turned 50 this year</t>
  </si>
  <si>
    <t>The client was told to come to pay a deposit. He stated hes willing to do that and dont mind that</t>
  </si>
  <si>
    <t>The client stated that hes will to come to the boutique to pay the full amount</t>
  </si>
  <si>
    <t>The client is looking for a gift for his father and willing to come to UAE for purchase</t>
  </si>
  <si>
    <t>The client is looking for a gift for his father’s birthday and willing to come to UAE</t>
  </si>
  <si>
    <t>The client is willing to come to the UAE to get the timepiece.</t>
  </si>
  <si>
    <t>The client is willing to come to India to get the timepiece</t>
  </si>
  <si>
    <t>The client is willing to travel to UAE to get this timepiece</t>
  </si>
  <si>
    <t>The client is willing to come to India to purchase the timepiece</t>
  </si>
  <si>
    <t>The client is interested in the fiftysix 600E/000A-B442 as well  Overseas chronograph X55AC481</t>
  </si>
  <si>
    <t>The client stated that once we confirm the availability of the watch he will be traveling to UAE to purchase</t>
  </si>
  <si>
    <t>The client is interested in the oversease self winding  living in Dubai</t>
  </si>
  <si>
    <t>The client ins interested in 2 timepeices ( 6000V/110A-B544 \ 4520V/210A-B128)</t>
  </si>
  <si>
    <t>The client would like to purchase one of the 2 overseas , either [Overseas tourbillon](https://richemont.lightning.force.com/lightning/r/01t1i000003IYweAAG/view) or the Overseas self-winding</t>
  </si>
  <si>
    <t>the client is interested in purchasing the **[Overseas self-winding ](https://richemont.lightning.force.com/lightning/r/01t1i000004DWYiAAO/view)**</t>
  </si>
  <si>
    <t>The client wish to be added to the waiting list</t>
  </si>
  <si>
    <t>The client is interested in Traditionnelle tourbillon chronograph,</t>
  </si>
  <si>
    <t>The client is interested in the  Overseas dual time “ very interested</t>
  </si>
  <si>
    <t>Mr. Ahmad, who has previously expressed his interest in the Overseas Dual Time, has been in communication with Yasser. We have committed to contacting Mr. Ahmad once the timepiece becomes available.</t>
  </si>
  <si>
    <t>Client for Maaz</t>
  </si>
  <si>
    <t>Client lives in Cyprus and has an office in UAE</t>
  </si>
  <si>
    <t>Client would like to build a relation with the btq to purchase a piece in the occasion of celebrating the opening of a new branch of his business.</t>
  </si>
  <si>
    <t>Client is interested in this model and also the Overseas tourbillon Skeleton.</t>
  </si>
  <si>
    <t>Client is in India would like to add his name to the waiting list in Dubai.</t>
  </si>
  <si>
    <t>Client would like to add his name to the waiting list of the Overseas self winding in steel with blue dial</t>
  </si>
  <si>
    <t>The client is interested in the timepiece</t>
  </si>
  <si>
    <t>The client is interested in the Overseas self-winding . ready to pay deposit</t>
  </si>
  <si>
    <t>The client is interested and would like to proceed Overseas self-winding</t>
  </si>
  <si>
    <t>The client is interested in the timepiece and not open for other options</t>
  </si>
  <si>
    <t>Client asked to add her name into the waiting list for the historiques 222</t>
  </si>
  <si>
    <t>The client is very interested in this timepiece.</t>
  </si>
  <si>
    <t>The client would like to register to the waiting list</t>
  </si>
  <si>
    <t>Client’s wedding is in November 2024 and would like to purchase the timepiece and wear it on his day</t>
  </si>
  <si>
    <t>Client does not want to subscribe to marketing, he just needs a contact if the piece is available.</t>
  </si>
  <si>
    <t>The client’s main residence is in Saudi Arabia, and he wants to register on the waiting list of UAE</t>
  </si>
  <si>
    <t>Ref</t>
  </si>
  <si>
    <t xml:space="preserve">Collection name </t>
  </si>
  <si>
    <t>CRC STOCK</t>
  </si>
  <si>
    <t>Available</t>
  </si>
  <si>
    <t xml:space="preserve">Helper </t>
  </si>
  <si>
    <t xml:space="preserve">Timepiece Reference#( only the available for sale ) </t>
  </si>
  <si>
    <t>VMX40G130C</t>
  </si>
  <si>
    <t>Regulator perpetual calendar - Jewellery</t>
  </si>
  <si>
    <t>6,000,000 AED</t>
  </si>
  <si>
    <t xml:space="preserve">QTY </t>
  </si>
  <si>
    <t>VMX24G160C</t>
  </si>
  <si>
    <t>2400C/000G-160C</t>
  </si>
  <si>
    <t>Miniature - Ode to Izanagi</t>
  </si>
  <si>
    <t>VMX98R202C</t>
  </si>
  <si>
    <t>9890C/000R-202C</t>
  </si>
  <si>
    <t>Armillary tourbillon - Ode to Chronos</t>
  </si>
  <si>
    <t>VMX97R212C</t>
  </si>
  <si>
    <t>9720C/000R-212C</t>
  </si>
  <si>
    <t>Celestia astronomical grand complication</t>
  </si>
  <si>
    <t>VMX80R246C</t>
  </si>
  <si>
    <t>80172/000R-246C</t>
  </si>
  <si>
    <t>Minute repeater perpetual calendar - Ornamental</t>
  </si>
  <si>
    <t>VMX82PH063</t>
  </si>
  <si>
    <t>192,000 AED</t>
  </si>
  <si>
    <t>4605F/110R-B496</t>
  </si>
  <si>
    <t>4000E/000R-B065</t>
  </si>
  <si>
    <t>VMX42AB934</t>
  </si>
  <si>
    <t>121,000 AED</t>
  </si>
  <si>
    <t>4400E/000R-B436</t>
  </si>
  <si>
    <t>1100S/000R-B430</t>
  </si>
  <si>
    <t>VMX60GH067</t>
  </si>
  <si>
    <t>6057T/000G-H067</t>
  </si>
  <si>
    <t>Traditionnelle tourbillon high jewellery</t>
  </si>
  <si>
    <t>2,720,000 AED</t>
  </si>
  <si>
    <t>82035/000G-B735</t>
  </si>
  <si>
    <t>VMX85JH069</t>
  </si>
  <si>
    <t>85180/000J-H069</t>
  </si>
  <si>
    <t>Patrimony self-winding</t>
  </si>
  <si>
    <t>134,000 AED</t>
  </si>
  <si>
    <t>1225V/000R-B592</t>
  </si>
  <si>
    <t>4605V/200R-B978</t>
  </si>
  <si>
    <t>VMX46RH101</t>
  </si>
  <si>
    <t>96,500 AED</t>
  </si>
  <si>
    <t>43175/000R-9687</t>
  </si>
  <si>
    <t>VMX24RH024</t>
  </si>
  <si>
    <t>2400A/000R-H024</t>
  </si>
  <si>
    <t>Métiers d’Art Tribute to traditional symbols - Eternal flow</t>
  </si>
  <si>
    <t>560,000 AED</t>
  </si>
  <si>
    <t>85180/000R-9248</t>
  </si>
  <si>
    <t>VMX24RH022</t>
  </si>
  <si>
    <t>2405A/000R-H022</t>
  </si>
  <si>
    <t>Métiers d’Art Tribute to traditional symbols - Moonlight slivers</t>
  </si>
  <si>
    <t>25558/000R-B156</t>
  </si>
  <si>
    <t>VMX24GH023</t>
  </si>
  <si>
    <t>2400A/000G-H023</t>
  </si>
  <si>
    <t>4020T/000P-H038</t>
  </si>
  <si>
    <t>VMX24GH021</t>
  </si>
  <si>
    <t>2405A/000G-H021</t>
  </si>
  <si>
    <t>9720C/000P-126C</t>
  </si>
  <si>
    <t>VMX86RH034</t>
  </si>
  <si>
    <t>86073/000R-H034</t>
  </si>
  <si>
    <t>Métiers d'Art The legend of the Chinese zodiac - year of the snake</t>
  </si>
  <si>
    <t>1420C/000J-161C</t>
  </si>
  <si>
    <t>VMX86PH033</t>
  </si>
  <si>
    <t>86073/000P-H033</t>
  </si>
  <si>
    <t>620,000 AED</t>
  </si>
  <si>
    <t>6057/000G-H067</t>
  </si>
  <si>
    <t>VMX43RC642</t>
  </si>
  <si>
    <t>4300V/220R-B642</t>
  </si>
  <si>
    <t>Overseas perpetual calendar ultra-thin skeleton</t>
  </si>
  <si>
    <t>605,000 AED</t>
  </si>
  <si>
    <t>9870C/000T-181C</t>
  </si>
  <si>
    <t>VMX43RC547</t>
  </si>
  <si>
    <t>6007V/210G-B955</t>
  </si>
  <si>
    <t>VMX43RC509</t>
  </si>
  <si>
    <t>Overseas perpetual calendar ultra-thin</t>
  </si>
  <si>
    <t>442,000 AED</t>
  </si>
  <si>
    <t>VMX43RC064</t>
  </si>
  <si>
    <t>VMX43GC946</t>
  </si>
  <si>
    <t>VMX43GC945</t>
  </si>
  <si>
    <t>VMX60GC955</t>
  </si>
  <si>
    <t>Overseas tourbillon high jewellery</t>
  </si>
  <si>
    <t>1,020,000 AED</t>
  </si>
  <si>
    <t>VMX60TH032</t>
  </si>
  <si>
    <t>Overseas tourbillon</t>
  </si>
  <si>
    <t>580,000 AED</t>
  </si>
  <si>
    <t>VMX79RC965</t>
  </si>
  <si>
    <t>286,000 AED</t>
  </si>
  <si>
    <t>VMX55RC966</t>
  </si>
  <si>
    <t>299,000 AED</t>
  </si>
  <si>
    <t>VMX46RC969</t>
  </si>
  <si>
    <t>4605V/200R-B969</t>
  </si>
  <si>
    <t>Overseas self-winding Green Diamonds - Pink Gold</t>
  </si>
  <si>
    <t>220,000 AED</t>
  </si>
  <si>
    <t>VMX45RC967</t>
  </si>
  <si>
    <t>229,000 AED</t>
  </si>
  <si>
    <t>VMX46RH134</t>
  </si>
  <si>
    <t>4600V/200R-H134</t>
  </si>
  <si>
    <t>196,000 AED</t>
  </si>
  <si>
    <t>VMX40GH070</t>
  </si>
  <si>
    <t>4010U/000G-H070</t>
  </si>
  <si>
    <t>Patrimony moon phase retrograde date</t>
  </si>
  <si>
    <t>187,000 AED</t>
  </si>
  <si>
    <t>4600V/200R-B979</t>
  </si>
  <si>
    <t>VMX12GH094</t>
  </si>
  <si>
    <t>1208J/118G-H094</t>
  </si>
  <si>
    <t>Grand Lady Kalla</t>
  </si>
  <si>
    <t>5,350,000 AED</t>
  </si>
  <si>
    <t>VMX82RH008</t>
  </si>
  <si>
    <t>82172/000R-H008</t>
  </si>
  <si>
    <t>Traditionnelle manual-winding</t>
  </si>
  <si>
    <t>89,500 AED</t>
  </si>
  <si>
    <t>VMX40R143C</t>
  </si>
  <si>
    <t>4017C/000R-143C</t>
  </si>
  <si>
    <t>VMX40G146C</t>
  </si>
  <si>
    <t>4017C/000G-146C</t>
  </si>
  <si>
    <t>VMX97G134C</t>
  </si>
  <si>
    <t>9720C/000G-134C</t>
  </si>
  <si>
    <t>Celestia Astronomical Grand Complication (Set for Riyadh)</t>
  </si>
  <si>
    <t>VMX66G132C</t>
  </si>
  <si>
    <t>6620C/000G-132C</t>
  </si>
  <si>
    <t>Astronomical striking grand complication</t>
  </si>
  <si>
    <t>8,550,000 AED</t>
  </si>
  <si>
    <t>VMX75RB994</t>
  </si>
  <si>
    <t>7500U/000R-B994</t>
  </si>
  <si>
    <t>Métiers d'Art Tribute to Explorer Naturalists - Cap de Bonne-Espérance</t>
  </si>
  <si>
    <t>675,000 AED</t>
  </si>
  <si>
    <t>VMX75GB991</t>
  </si>
  <si>
    <t>7500U/000G-B991</t>
  </si>
  <si>
    <t>Métiers d'Art Tribute to Explorer Naturalists - Cap-Vert</t>
  </si>
  <si>
    <t>VMX41GB909</t>
  </si>
  <si>
    <t>4116U/000G-B909</t>
  </si>
  <si>
    <t>Patrimony self-winding jewellery</t>
  </si>
  <si>
    <t>310,000 AED</t>
  </si>
  <si>
    <t>VMX12RC592</t>
  </si>
  <si>
    <t>125,000 AED</t>
  </si>
  <si>
    <t>VMX12AC590</t>
  </si>
  <si>
    <t>62,500 AED</t>
  </si>
  <si>
    <t>VMX46RC979</t>
  </si>
  <si>
    <t xml:space="preserve">Overseas self-winding Blue 34.5 mm </t>
  </si>
  <si>
    <t>VMX46RC978</t>
  </si>
  <si>
    <t xml:space="preserve">Overseas self-winding Blue 35 mm </t>
  </si>
  <si>
    <t>VMX46RC968</t>
  </si>
  <si>
    <t>4605V/200R-B968</t>
  </si>
  <si>
    <t xml:space="preserve">Overseas self-winding Pink Gold </t>
  </si>
  <si>
    <t>VMX46AC980</t>
  </si>
  <si>
    <t>87,500 AED</t>
  </si>
  <si>
    <t>VMX46AC971</t>
  </si>
  <si>
    <t>4605V/200A-B971</t>
  </si>
  <si>
    <t>116,000 AED</t>
  </si>
  <si>
    <t>VMX45RC705</t>
  </si>
  <si>
    <t>VMX45AC483</t>
  </si>
  <si>
    <t>94,500 AED</t>
  </si>
  <si>
    <t>VMX45AC128</t>
  </si>
  <si>
    <t>VMX45AC126</t>
  </si>
  <si>
    <t>VMX79RC336</t>
  </si>
  <si>
    <t>Overseas dual time</t>
  </si>
  <si>
    <t>184,000 AED</t>
  </si>
  <si>
    <t>VMX79AC546</t>
  </si>
  <si>
    <t>Overseas dual time Black</t>
  </si>
  <si>
    <t>117,000 AED</t>
  </si>
  <si>
    <t>VMX79AC334</t>
  </si>
  <si>
    <t>VMX79AC333</t>
  </si>
  <si>
    <t>Overseas dual time Silver</t>
  </si>
  <si>
    <t>VMX60TC935</t>
  </si>
  <si>
    <t>6000V/210T-B935</t>
  </si>
  <si>
    <t>Overseas tourbillon skeleton - Titanium 42.5 mm</t>
  </si>
  <si>
    <t>735,000 AED</t>
  </si>
  <si>
    <t>VMX60RC934</t>
  </si>
  <si>
    <t>Overseas tourbillon skeleton</t>
  </si>
  <si>
    <t>840,000 AED</t>
  </si>
  <si>
    <t>VMX60RC733</t>
  </si>
  <si>
    <t>6000V/210R-B733</t>
  </si>
  <si>
    <t>680,000 AED</t>
  </si>
  <si>
    <t>VMX55RC952</t>
  </si>
  <si>
    <t>VMX55AC686</t>
  </si>
  <si>
    <t>135,000 AED</t>
  </si>
  <si>
    <t>VMX55AC481</t>
  </si>
  <si>
    <t>VMX55AC148</t>
  </si>
  <si>
    <t>VMX86RB983</t>
  </si>
  <si>
    <t>86073/000R-B983</t>
  </si>
  <si>
    <t>Métiers d'Art The legend of the Chinese zodiac - year of the dragon</t>
  </si>
  <si>
    <t>448,000 AED</t>
  </si>
  <si>
    <t>VMX86PB982</t>
  </si>
  <si>
    <t>86073/000P-B982</t>
  </si>
  <si>
    <t>545,000 AED</t>
  </si>
  <si>
    <t>VMX40PH003</t>
  </si>
  <si>
    <t>Patrimony retrograde day-date</t>
  </si>
  <si>
    <t>234,000 AED</t>
  </si>
  <si>
    <t>VMX98G078C</t>
  </si>
  <si>
    <t>9827C/000G-078C</t>
  </si>
  <si>
    <t>Armillary tourbillon perpetual calendar - Planetaria Jewellery</t>
  </si>
  <si>
    <t>VMX89G095C</t>
  </si>
  <si>
    <t>89667/000G-095C</t>
  </si>
  <si>
    <t>14-day Openworked tourbillon - High Jewellery</t>
  </si>
  <si>
    <t>VMX97G015C</t>
  </si>
  <si>
    <t>9727C/000G-015C</t>
  </si>
  <si>
    <t>Celestia Astronomical Grand Complication - High Jewellery</t>
  </si>
  <si>
    <t>VMX66R127C</t>
  </si>
  <si>
    <t>6605C/000R-127C</t>
  </si>
  <si>
    <t>Minute repeater Grand feu enamel - Jewellery</t>
  </si>
  <si>
    <t>VMX97P126C</t>
  </si>
  <si>
    <t>Celestia Astronomical Grand Complication (set for Dubai)</t>
  </si>
  <si>
    <t>6,500,000 AED</t>
  </si>
  <si>
    <t>VMX55A3161</t>
  </si>
  <si>
    <t>5500V/110A-B686</t>
  </si>
  <si>
    <t>VMX40AC911</t>
  </si>
  <si>
    <t>166,000 AED</t>
  </si>
  <si>
    <t>VMX43RB947</t>
  </si>
  <si>
    <t>4305T/000R-B947</t>
  </si>
  <si>
    <t>Traditionnelle perpetual calendar ultra-thin</t>
  </si>
  <si>
    <t>336,000 AED</t>
  </si>
  <si>
    <t>VMX14R3071</t>
  </si>
  <si>
    <t>1405T/000R-B636</t>
  </si>
  <si>
    <t>112,000 AED</t>
  </si>
  <si>
    <t>VMX70GB913</t>
  </si>
  <si>
    <t>7006T/000G-B913</t>
  </si>
  <si>
    <t>Traditionnelle moon phase</t>
  </si>
  <si>
    <t>VMX60RB961</t>
  </si>
  <si>
    <t>6040T/000R-B961</t>
  </si>
  <si>
    <t>Traditionnelle tourbillon</t>
  </si>
  <si>
    <t>755,000 AED</t>
  </si>
  <si>
    <t>VMX60RB960</t>
  </si>
  <si>
    <t>6040T/000R-B960</t>
  </si>
  <si>
    <t>VMX60RB959</t>
  </si>
  <si>
    <t>6040T/000R-B959</t>
  </si>
  <si>
    <t>VMX60R3061</t>
  </si>
  <si>
    <t>Traditionnelle tourbillon retrograde date openface</t>
  </si>
  <si>
    <t>650,000 AED</t>
  </si>
  <si>
    <t>VMX60PH025</t>
  </si>
  <si>
    <t>6000T/000P-H025</t>
  </si>
  <si>
    <t>VMX12RB984</t>
  </si>
  <si>
    <t>1205F/000R-B984</t>
  </si>
  <si>
    <t>Égérie quartz</t>
  </si>
  <si>
    <t>81,000 AED</t>
  </si>
  <si>
    <t>VMX80GB942</t>
  </si>
  <si>
    <t>8006F/000G-B942</t>
  </si>
  <si>
    <t>Égérie Creative Edition</t>
  </si>
  <si>
    <t>428,000 AED</t>
  </si>
  <si>
    <t>VMX80RB958</t>
  </si>
  <si>
    <t>8005F/000R-B958</t>
  </si>
  <si>
    <t>Égérie moon phase</t>
  </si>
  <si>
    <t>149,000 AED</t>
  </si>
  <si>
    <t>VMX46RB957</t>
  </si>
  <si>
    <t>4605F/000R-B957</t>
  </si>
  <si>
    <t>Égérie self-winding</t>
  </si>
  <si>
    <t>129,000 AED</t>
  </si>
  <si>
    <t>VMX80RB977</t>
  </si>
  <si>
    <t>8016F/127R-B977</t>
  </si>
  <si>
    <t>Égérie moon phase jewellery</t>
  </si>
  <si>
    <t>785,000 AED</t>
  </si>
  <si>
    <t>VMX80RB976</t>
  </si>
  <si>
    <t>8006F/000R-B976</t>
  </si>
  <si>
    <t>VMX80RH002</t>
  </si>
  <si>
    <t>8005F/120R-H002</t>
  </si>
  <si>
    <t>215,000 AED</t>
  </si>
  <si>
    <t>VMX55RB952</t>
  </si>
  <si>
    <t>5500V/110R-B952</t>
  </si>
  <si>
    <t>VMX76RB927</t>
  </si>
  <si>
    <t>7620A/000R-B927</t>
  </si>
  <si>
    <t>Métiers d'Art Tribute to great civilisations - Grand sphinx de Tanis</t>
  </si>
  <si>
    <t>VMX76RB926</t>
  </si>
  <si>
    <t>7620A/000R-B926</t>
  </si>
  <si>
    <t>Métiers d'Art Tribute to great civilisations - Lion de Darius</t>
  </si>
  <si>
    <t>VMX76GB929</t>
  </si>
  <si>
    <t>7620A/000G-B929</t>
  </si>
  <si>
    <t>Métiers d'Art Tribute to great civilisations - Buste d'Auguste</t>
  </si>
  <si>
    <t>VMX76GB928</t>
  </si>
  <si>
    <t>7620A/000G-B928</t>
  </si>
  <si>
    <t>Métiers d'Art Tribute to great civilisations - Victoire de Samothrace</t>
  </si>
  <si>
    <t>VMX86RB933</t>
  </si>
  <si>
    <t>86073/000R-B933</t>
  </si>
  <si>
    <t>Métiers d'Art The legend of the Chinese zodiac - year of the rabbit</t>
  </si>
  <si>
    <t>VMX86PB932</t>
  </si>
  <si>
    <t>86073/000P-B932</t>
  </si>
  <si>
    <t>VMX41RB907</t>
  </si>
  <si>
    <t>4115U/000R-B907</t>
  </si>
  <si>
    <t>138,000 AED</t>
  </si>
  <si>
    <t>VMX41GB908</t>
  </si>
  <si>
    <t>4115U/000G-B908</t>
  </si>
  <si>
    <t>VMX42JB935</t>
  </si>
  <si>
    <t>279,000 AED</t>
  </si>
  <si>
    <t>VMX98R079C</t>
  </si>
  <si>
    <t>9820C/000R-079C</t>
  </si>
  <si>
    <t>Armillary tourbillon perpetual calendar - Planetaria</t>
  </si>
  <si>
    <t>4,380,000 AED</t>
  </si>
  <si>
    <t>VMX79AV546</t>
  </si>
  <si>
    <t>7900V/110A-B546</t>
  </si>
  <si>
    <t>VMX79AV334</t>
  </si>
  <si>
    <t>7900V/110A-B334</t>
  </si>
  <si>
    <t>VMX79AV333</t>
  </si>
  <si>
    <t>7900V/110A-B333</t>
  </si>
  <si>
    <t>VMX60RV733</t>
  </si>
  <si>
    <t>6000V/110R-B733</t>
  </si>
  <si>
    <t>VMX60AV544</t>
  </si>
  <si>
    <t>515,000 AED</t>
  </si>
  <si>
    <t>VMX55RV074</t>
  </si>
  <si>
    <t>5500V/000R-B074</t>
  </si>
  <si>
    <t>206,000 AED</t>
  </si>
  <si>
    <t>VMX55AV481</t>
  </si>
  <si>
    <t>5500V/110A-B481</t>
  </si>
  <si>
    <t>VMX55AV148</t>
  </si>
  <si>
    <t>5500V/110A-B148</t>
  </si>
  <si>
    <t>VMX45RV705</t>
  </si>
  <si>
    <t>4500V/110R-B705</t>
  </si>
  <si>
    <t>VMX45RV127</t>
  </si>
  <si>
    <t>153,000 AED</t>
  </si>
  <si>
    <t>VMX45AV483</t>
  </si>
  <si>
    <t>4500V/110A-B483</t>
  </si>
  <si>
    <t>VMX45AV128</t>
  </si>
  <si>
    <t>4500V/110A-B128</t>
  </si>
  <si>
    <t>VMX45AV126</t>
  </si>
  <si>
    <t>4500V/110A-B126</t>
  </si>
  <si>
    <t>VMX43RV547</t>
  </si>
  <si>
    <t>4300V/120R-B547</t>
  </si>
  <si>
    <t>VMX43RV064</t>
  </si>
  <si>
    <t>4300V/120R-B064</t>
  </si>
  <si>
    <t>VMX43GV946</t>
  </si>
  <si>
    <t>4300V/120G-B946</t>
  </si>
  <si>
    <t>VMX43GV945</t>
  </si>
  <si>
    <t>4300V/120G-B945</t>
  </si>
  <si>
    <t>VMX23RV078</t>
  </si>
  <si>
    <t>2305V/000R-B077</t>
  </si>
  <si>
    <t>167,000 AED</t>
  </si>
  <si>
    <t>VMX23RV077</t>
  </si>
  <si>
    <t>2305V/100R-B077</t>
  </si>
  <si>
    <t>216,000 AED</t>
  </si>
  <si>
    <t>VMX23AV170</t>
  </si>
  <si>
    <t>2305V/100A-B170</t>
  </si>
  <si>
    <t>VMX23AV078</t>
  </si>
  <si>
    <t>2305V/100A-B078</t>
  </si>
  <si>
    <t>VMX12RV592</t>
  </si>
  <si>
    <t>1205V/000R-B592</t>
  </si>
  <si>
    <t>VMX12AV591</t>
  </si>
  <si>
    <t>VMX12AV590</t>
  </si>
  <si>
    <t>1205V/100A-B590</t>
  </si>
  <si>
    <t>VMX60TB935</t>
  </si>
  <si>
    <t>6000V/110T-B935</t>
  </si>
  <si>
    <t>VMX60RB934</t>
  </si>
  <si>
    <t>6000V/110R-B934</t>
  </si>
  <si>
    <t>VMX43R3092</t>
  </si>
  <si>
    <t>4300V/120R-B642</t>
  </si>
  <si>
    <t>VMX41RB905</t>
  </si>
  <si>
    <t>4110U/000R-B905</t>
  </si>
  <si>
    <t>110,000 AED</t>
  </si>
  <si>
    <t>VMX41GB906</t>
  </si>
  <si>
    <t>4110U/000G-B906</t>
  </si>
  <si>
    <t>VMX50PB975</t>
  </si>
  <si>
    <t>5000T/000P-B975</t>
  </si>
  <si>
    <t>Traditionnelle perpetual calendar chronograph</t>
  </si>
  <si>
    <t>VMX43GB948</t>
  </si>
  <si>
    <t>4305T/000G-B948</t>
  </si>
  <si>
    <t>VMX66G022C</t>
  </si>
  <si>
    <t>6657C/000G-022C</t>
  </si>
  <si>
    <t>Openworked Minute repeater - High Jewellery</t>
  </si>
  <si>
    <t>VMX79RV336</t>
  </si>
  <si>
    <t>7900V/000R-B336</t>
  </si>
  <si>
    <t>VMX60RB972</t>
  </si>
  <si>
    <t>6000T/000R-B972</t>
  </si>
  <si>
    <t>VMX60PB974</t>
  </si>
  <si>
    <t>6000T/000P-B974</t>
  </si>
  <si>
    <t>TRADITIONNELLE TOURBILLON</t>
  </si>
  <si>
    <t>VMX60PB973</t>
  </si>
  <si>
    <t>6000T/000P-B973</t>
  </si>
  <si>
    <t>VMX40G3253</t>
  </si>
  <si>
    <t>172,000 AED</t>
  </si>
  <si>
    <t>VMX40R3089</t>
  </si>
  <si>
    <t>4020T/000R-B654</t>
  </si>
  <si>
    <t>Traditionnelle complete calendar openface</t>
  </si>
  <si>
    <t>199,000 AED</t>
  </si>
  <si>
    <t>VMX40G3090</t>
  </si>
  <si>
    <t>4020T/000G-B655</t>
  </si>
  <si>
    <t>VMX86RB901</t>
  </si>
  <si>
    <t>86073/000R-B901</t>
  </si>
  <si>
    <t>Métiers d'Art The legend of the Chinese zodiac - Year of the tiger</t>
  </si>
  <si>
    <t>VMX86PB900</t>
  </si>
  <si>
    <t>86073/000P-B900</t>
  </si>
  <si>
    <t>VMX79TB922</t>
  </si>
  <si>
    <t>7910V/000T-B922</t>
  </si>
  <si>
    <t>123,000 AED</t>
  </si>
  <si>
    <t>VMX60R3240</t>
  </si>
  <si>
    <t>VMX55TB923</t>
  </si>
  <si>
    <t>5510V/000T-B923</t>
  </si>
  <si>
    <t>145,000 AED</t>
  </si>
  <si>
    <t>VMX43RV510</t>
  </si>
  <si>
    <t>4300V/000R-B509</t>
  </si>
  <si>
    <t>369,000 AED</t>
  </si>
  <si>
    <t>VMX43RV509</t>
  </si>
  <si>
    <t>4300V/120R-B509</t>
  </si>
  <si>
    <t>VMX43RV065</t>
  </si>
  <si>
    <t>4300V/000R-B064</t>
  </si>
  <si>
    <t>VMX43R2674</t>
  </si>
  <si>
    <t>VMX43GB946</t>
  </si>
  <si>
    <t>VMX43GB945</t>
  </si>
  <si>
    <t>VMX46R3109</t>
  </si>
  <si>
    <t>173,000 AED</t>
  </si>
  <si>
    <t>VMX46R3098</t>
  </si>
  <si>
    <t>4606F/000R-B648</t>
  </si>
  <si>
    <t>249,000 AED</t>
  </si>
  <si>
    <t>VMX46G3099</t>
  </si>
  <si>
    <t>4606F/000G-B649</t>
  </si>
  <si>
    <t>VMX82P3300</t>
  </si>
  <si>
    <t>82035/000P-B748</t>
  </si>
  <si>
    <t>Historiques American 1921 - Collection Excellence Platine</t>
  </si>
  <si>
    <t>201,000 AED</t>
  </si>
  <si>
    <t>VMX82G3246</t>
  </si>
  <si>
    <t>Historiques American 1921</t>
  </si>
  <si>
    <t>VMX11G3245</t>
  </si>
  <si>
    <t>1100S/000G-B734</t>
  </si>
  <si>
    <t>127,000 AED</t>
  </si>
  <si>
    <t>VMX51R2984</t>
  </si>
  <si>
    <t>5100T/000R-B623</t>
  </si>
  <si>
    <t>Traditionnelle tourbillon chronograph</t>
  </si>
  <si>
    <t>890,000 AED</t>
  </si>
  <si>
    <t>VMX89R3095</t>
  </si>
  <si>
    <t>89000/000R-B645</t>
  </si>
  <si>
    <t>1,110,000 AED</t>
  </si>
  <si>
    <t>VMX54P3068</t>
  </si>
  <si>
    <t>5400T/000P-B637</t>
  </si>
  <si>
    <t>Traditionnelle split-seconds chronograph ultra-thin - Collection Excellence Platine</t>
  </si>
  <si>
    <t>1,200,000 AED</t>
  </si>
  <si>
    <t>VMX32P3181</t>
  </si>
  <si>
    <t>3200T/002P-B578</t>
  </si>
  <si>
    <t>Traditionnelle Twin Beat perpetual calendar</t>
  </si>
  <si>
    <t>VMX80GB499</t>
  </si>
  <si>
    <t>8016F/127G-B499</t>
  </si>
  <si>
    <t>VMX37G3111</t>
  </si>
  <si>
    <t>37640/000G-B659</t>
  </si>
  <si>
    <t>Heures Créatives Heure Romantique</t>
  </si>
  <si>
    <t>237,000 AED</t>
  </si>
  <si>
    <t>VMX86P3097</t>
  </si>
  <si>
    <t>86073/000P-B647</t>
  </si>
  <si>
    <t>Métiers d'Art The legend of the Chinese zodiac - Year of the ox</t>
  </si>
  <si>
    <t>VMX97R008C</t>
  </si>
  <si>
    <t>9770C/000R-008C</t>
  </si>
  <si>
    <t>Dual Moon - Grand Complication</t>
  </si>
  <si>
    <t>VMX86R3096</t>
  </si>
  <si>
    <t>86073/000R-B646</t>
  </si>
  <si>
    <t>VMX79A2637</t>
  </si>
  <si>
    <t>VMX45R3228</t>
  </si>
  <si>
    <t>VMX43R2769</t>
  </si>
  <si>
    <t>VMX60R3069</t>
  </si>
  <si>
    <t>6035T/000R-B634</t>
  </si>
  <si>
    <t>645,000 AED</t>
  </si>
  <si>
    <t>VMX60G3070</t>
  </si>
  <si>
    <t>6025T/000G-B635</t>
  </si>
  <si>
    <t>Traditionnelle tourbillon jewellery</t>
  </si>
  <si>
    <t>VMX85R3093</t>
  </si>
  <si>
    <t>85515/000R-B644</t>
  </si>
  <si>
    <t>151,000 AED</t>
  </si>
  <si>
    <t>VMX40P2636</t>
  </si>
  <si>
    <t>4010U/000P-B545</t>
  </si>
  <si>
    <t>Patrimony moon phase retrograde date - Collection Excellence Platine</t>
  </si>
  <si>
    <t>276,000 AED</t>
  </si>
  <si>
    <t>VMX46R2831</t>
  </si>
  <si>
    <t>4600E/000R-B576</t>
  </si>
  <si>
    <t>VMX40R2755</t>
  </si>
  <si>
    <t>169,000 AED</t>
  </si>
  <si>
    <t>VMX46R2375</t>
  </si>
  <si>
    <t>4605F/000R-B496</t>
  </si>
  <si>
    <t>VMX80R2377</t>
  </si>
  <si>
    <t>8005F/000R-B498</t>
  </si>
  <si>
    <t>VMX80G3063</t>
  </si>
  <si>
    <t>8016F/126G-B499</t>
  </si>
  <si>
    <t>VMX80G2378</t>
  </si>
  <si>
    <t>8006F/000G-B499</t>
  </si>
  <si>
    <t>VMX80A2370</t>
  </si>
  <si>
    <t>8005F/120A-B497</t>
  </si>
  <si>
    <t>109,000 AED</t>
  </si>
  <si>
    <t>VMX46A2371</t>
  </si>
  <si>
    <t>4605F/110A-B495</t>
  </si>
  <si>
    <t>Egérie self-winding</t>
  </si>
  <si>
    <t>88,500 AED</t>
  </si>
  <si>
    <t>VMX12R2983</t>
  </si>
  <si>
    <t>1205F/000R-B622</t>
  </si>
  <si>
    <t>VMX43R2478</t>
  </si>
  <si>
    <t>VMX60A2760</t>
  </si>
  <si>
    <t>VMX12R2910</t>
  </si>
  <si>
    <t>VMX12A3050</t>
  </si>
  <si>
    <t>VMX12A3049</t>
  </si>
  <si>
    <t>VMX85R2518</t>
  </si>
  <si>
    <t>85180/000R-B515</t>
  </si>
  <si>
    <t>120,000 AED</t>
  </si>
  <si>
    <t>VMX41R3094</t>
  </si>
  <si>
    <t>4100U/000R-B643</t>
  </si>
  <si>
    <t>102,000 AED</t>
  </si>
  <si>
    <t>VMX87R3170</t>
  </si>
  <si>
    <t>87172/000R-B690</t>
  </si>
  <si>
    <t>Traditionnelle self-winding</t>
  </si>
  <si>
    <t>VMX50A2879</t>
  </si>
  <si>
    <t>5000H/000A-B582</t>
  </si>
  <si>
    <t>Historiques Cornes de vache 1955</t>
  </si>
  <si>
    <t>180,000 AED</t>
  </si>
  <si>
    <t>VMX86R2525</t>
  </si>
  <si>
    <t>86073/000R-B520</t>
  </si>
  <si>
    <t>Métiers d'Art The legend of the Chinese zodiac - Year of the rat</t>
  </si>
  <si>
    <t>VMX86P2526</t>
  </si>
  <si>
    <t>86073/000P-B521</t>
  </si>
  <si>
    <t>VMX81R2520</t>
  </si>
  <si>
    <t>81180/000R-B518</t>
  </si>
  <si>
    <t>Patrimony manual-winding</t>
  </si>
  <si>
    <t>83,500 AED</t>
  </si>
  <si>
    <t>VMX43R2521</t>
  </si>
  <si>
    <t>43175/000R-B519</t>
  </si>
  <si>
    <t>Patrimony perpetual calendar ultra-thin</t>
  </si>
  <si>
    <t>333,000 AED</t>
  </si>
  <si>
    <t>VMX40R2519</t>
  </si>
  <si>
    <t>4000U/000R-B516</t>
  </si>
  <si>
    <t>VMX46R2019</t>
  </si>
  <si>
    <t>4600E/000R-B441</t>
  </si>
  <si>
    <t>VMX46A2020</t>
  </si>
  <si>
    <t>48,000 AED</t>
  </si>
  <si>
    <t>VMX44R2014</t>
  </si>
  <si>
    <t>Fiftysix day-date</t>
  </si>
  <si>
    <t>168,000 AED</t>
  </si>
  <si>
    <t>VMX44A2015</t>
  </si>
  <si>
    <t>4400E/000A-B437</t>
  </si>
  <si>
    <t>104,000 AED</t>
  </si>
  <si>
    <t>VMX40R2016</t>
  </si>
  <si>
    <t>4000E/000R-B438</t>
  </si>
  <si>
    <t>VMX40A2017</t>
  </si>
  <si>
    <t>VMX46A2753</t>
  </si>
  <si>
    <t>58,500 AED</t>
  </si>
  <si>
    <t>VMX60R2316</t>
  </si>
  <si>
    <t>6000E/000R-B488</t>
  </si>
  <si>
    <t>Fiftysix tourbillon</t>
  </si>
  <si>
    <t>555,000 AED</t>
  </si>
  <si>
    <t>VMX46A2283</t>
  </si>
  <si>
    <t>VMX40A2656</t>
  </si>
  <si>
    <t>VMX40R1635</t>
  </si>
  <si>
    <t>4010T/000R-B344</t>
  </si>
  <si>
    <t>VMX79R1575</t>
  </si>
  <si>
    <t>VMX43R2104</t>
  </si>
  <si>
    <t>VMX55A2271</t>
  </si>
  <si>
    <t>VMX43R2612</t>
  </si>
  <si>
    <t>VMX86R1952</t>
  </si>
  <si>
    <t>86073/000R-B428</t>
  </si>
  <si>
    <t>Métiers d'Art The legend of the Chinese zodiac - Year of the pig</t>
  </si>
  <si>
    <t>VMX86P1953</t>
  </si>
  <si>
    <t>86073/000P-B429</t>
  </si>
  <si>
    <t>VMX45A2273</t>
  </si>
  <si>
    <t>VMX41G1967</t>
  </si>
  <si>
    <t>4100U/001G-B181</t>
  </si>
  <si>
    <t>VMX41G1944</t>
  </si>
  <si>
    <t>4100U/000G-B181</t>
  </si>
  <si>
    <t>VMX65R1452</t>
  </si>
  <si>
    <t>6500T/000R-B324</t>
  </si>
  <si>
    <t>Traditionnelle minute repeater tourbillon</t>
  </si>
  <si>
    <t>2,050,000 AED</t>
  </si>
  <si>
    <t>VMX60R1633</t>
  </si>
  <si>
    <t>VMX79A1573</t>
  </si>
  <si>
    <t>VMX79A1572</t>
  </si>
  <si>
    <t>VMX11R1956</t>
  </si>
  <si>
    <t>VMX31A1948</t>
  </si>
  <si>
    <t>Historiques Triple calendrier 1942</t>
  </si>
  <si>
    <t>91,000 AED</t>
  </si>
  <si>
    <t>VMX31A1947</t>
  </si>
  <si>
    <t>3110V/000A-B425</t>
  </si>
  <si>
    <t>VMX65P9252</t>
  </si>
  <si>
    <t>6500T/000P-B100</t>
  </si>
  <si>
    <t>2,280,000 AED</t>
  </si>
  <si>
    <t>VMX65P9251</t>
  </si>
  <si>
    <t>6500T/000P-9949</t>
  </si>
  <si>
    <t>VMX86R1373</t>
  </si>
  <si>
    <t>86073/000R-B256</t>
  </si>
  <si>
    <t>Métiers d'Art The legend of the Chinese zodiac - Year of the dog</t>
  </si>
  <si>
    <t>VMX43R1476</t>
  </si>
  <si>
    <t>43175/000R-B343</t>
  </si>
  <si>
    <t>VMX11P1523</t>
  </si>
  <si>
    <t>1110U/000P-B306</t>
  </si>
  <si>
    <t>Patrimony manual-winding - Collection Excellence Platine</t>
  </si>
  <si>
    <t>158,000 AED</t>
  </si>
  <si>
    <t>VMX43R1731</t>
  </si>
  <si>
    <t>43075/000R-B404</t>
  </si>
  <si>
    <t>Traditionnelle self-winding ultra-thin</t>
  </si>
  <si>
    <t>VMX30P9536</t>
  </si>
  <si>
    <t>30110/000P-B108</t>
  </si>
  <si>
    <t>Patrimony minute repeater ultra-thin - Collection Excellence Platine</t>
  </si>
  <si>
    <t>1,420,000 AED</t>
  </si>
  <si>
    <t>VMX11R9660</t>
  </si>
  <si>
    <t>1110U/000R-B085</t>
  </si>
  <si>
    <t>92,500 AED</t>
  </si>
  <si>
    <t>VMX11G9661</t>
  </si>
  <si>
    <t>1110U/000G-B086</t>
  </si>
  <si>
    <t>VMX11P9662</t>
  </si>
  <si>
    <t>1110U/000P-B087</t>
  </si>
  <si>
    <t>VMX81R9874</t>
  </si>
  <si>
    <t>81180/CB1R-9159</t>
  </si>
  <si>
    <t>133,000 AED</t>
  </si>
  <si>
    <t>VMX40R9740</t>
  </si>
  <si>
    <t>4000U/000R-B111</t>
  </si>
  <si>
    <t>VMX40R9571</t>
  </si>
  <si>
    <t>4000U/000R-B110</t>
  </si>
  <si>
    <t>VMX40G9572</t>
  </si>
  <si>
    <t>4000U/000G-B112</t>
  </si>
  <si>
    <t>VMX40R1503</t>
  </si>
  <si>
    <t>4010U/000R-B329</t>
  </si>
  <si>
    <t>VMX41R1966</t>
  </si>
  <si>
    <t>4100U/001R-B180</t>
  </si>
  <si>
    <t>VMX41R1943</t>
  </si>
  <si>
    <t>4100U/000R-B180</t>
  </si>
  <si>
    <t>VMX40G1504</t>
  </si>
  <si>
    <t>4010U/000G-B330</t>
  </si>
  <si>
    <t>VMX82R1729</t>
  </si>
  <si>
    <t>82172/000R-B402</t>
  </si>
  <si>
    <t>VMX50R1509</t>
  </si>
  <si>
    <t>5000T/000R-B304</t>
  </si>
  <si>
    <t>467,000 AED</t>
  </si>
  <si>
    <t>VMX87R1730</t>
  </si>
  <si>
    <t>87172/000R-B403</t>
  </si>
  <si>
    <t>115,000 AED</t>
  </si>
  <si>
    <t>VMX85R1732</t>
  </si>
  <si>
    <t>85290/000R-B405</t>
  </si>
  <si>
    <t>Traditionnelle day-date</t>
  </si>
  <si>
    <t>182,000 AED</t>
  </si>
  <si>
    <t>VMX70R9612</t>
  </si>
  <si>
    <t>7000M/000R-B109</t>
  </si>
  <si>
    <t>Malte moon phase</t>
  </si>
  <si>
    <t>VMX30R1230</t>
  </si>
  <si>
    <t>30130/000R-B289</t>
  </si>
  <si>
    <t>Malte tourbillon</t>
  </si>
  <si>
    <t>665,000 AED</t>
  </si>
  <si>
    <t>VMX81R1430</t>
  </si>
  <si>
    <t>81015/000R-B282</t>
  </si>
  <si>
    <t>Malte manual-winding</t>
  </si>
  <si>
    <t>83,000 AED</t>
  </si>
  <si>
    <t>VMX55R9465</t>
  </si>
  <si>
    <t>VMX55A9467</t>
  </si>
  <si>
    <t>VMX45R9730</t>
  </si>
  <si>
    <t>VMX45A9728</t>
  </si>
  <si>
    <t>VMX45A9727</t>
  </si>
  <si>
    <t>VMX23R9471</t>
  </si>
  <si>
    <t>VMX23R9469</t>
  </si>
  <si>
    <t>VMX23M9573</t>
  </si>
  <si>
    <t>VMX23A9470</t>
  </si>
  <si>
    <t>VMX77A9802</t>
  </si>
  <si>
    <t>7700V/110A-B176</t>
  </si>
  <si>
    <t>Overseas world time</t>
  </si>
  <si>
    <t>148,000 AED</t>
  </si>
  <si>
    <t>VMX82P9564</t>
  </si>
  <si>
    <t>82035/000P-B168</t>
  </si>
  <si>
    <t>189,000 AED</t>
  </si>
  <si>
    <t>VMX50R8672</t>
  </si>
  <si>
    <t>5000H/000R-B059</t>
  </si>
  <si>
    <t>242,000 AED</t>
  </si>
  <si>
    <t>VMX77A9801</t>
  </si>
  <si>
    <t>7700V/110A-B172</t>
  </si>
  <si>
    <t>VMX77A9800</t>
  </si>
  <si>
    <t>7700V/110A-B129</t>
  </si>
  <si>
    <t>VMX25R9488</t>
  </si>
  <si>
    <t>Traditionnelle quartz</t>
  </si>
  <si>
    <t>72,500 AED</t>
  </si>
  <si>
    <t>VMX25G9489</t>
  </si>
  <si>
    <t>25558/000G-B157</t>
  </si>
  <si>
    <t>VMX50P9570</t>
  </si>
  <si>
    <t>5000T/000P-B048</t>
  </si>
  <si>
    <t>VMX50P8673</t>
  </si>
  <si>
    <t>5000H/000P-B058</t>
  </si>
  <si>
    <t>287,000 AED</t>
  </si>
  <si>
    <t>VMX86P8565</t>
  </si>
  <si>
    <t>86073/000P-8972</t>
  </si>
  <si>
    <t>Métiers d'Art The legend of the Chinese zodiac - 2016, year of the monkey</t>
  </si>
  <si>
    <t>VMX37G9044</t>
  </si>
  <si>
    <t>37640/000G-B021</t>
  </si>
  <si>
    <t>VMX37G9043</t>
  </si>
  <si>
    <t>37640/000G-B030</t>
  </si>
  <si>
    <t>VMX37G9487</t>
  </si>
  <si>
    <t>37660/000G-B028</t>
  </si>
  <si>
    <t>Heures Créatives Heure Audacieuse</t>
  </si>
  <si>
    <t>640,000 AED</t>
  </si>
  <si>
    <t>VMX85R8877</t>
  </si>
  <si>
    <t>85515/000R-9840</t>
  </si>
  <si>
    <t>VMX30P8448</t>
  </si>
  <si>
    <t>30110/000P-9999</t>
  </si>
  <si>
    <t>Patrimony minute repeater ultra-thin</t>
  </si>
  <si>
    <t>1,340,000 AED</t>
  </si>
  <si>
    <t>VMX82R7754</t>
  </si>
  <si>
    <t>82230/000R-9963</t>
  </si>
  <si>
    <t>106,000 AED</t>
  </si>
  <si>
    <t>VMX82G7753</t>
  </si>
  <si>
    <t>82230/000G-9962</t>
  </si>
  <si>
    <t>VMX30P7883</t>
  </si>
  <si>
    <t>30135/000P-9842</t>
  </si>
  <si>
    <t>Malte tourbillon skeleton</t>
  </si>
  <si>
    <t>930,000 AED</t>
  </si>
  <si>
    <t>VMX82G8532</t>
  </si>
  <si>
    <t>82230/000G-9185</t>
  </si>
  <si>
    <t>VMX85G8878</t>
  </si>
  <si>
    <t>85515/000G-9841</t>
  </si>
  <si>
    <t>VMX81R6354</t>
  </si>
  <si>
    <t>81590/000R-9847</t>
  </si>
  <si>
    <t>VMX81G6355</t>
  </si>
  <si>
    <t>81590/000G-9848</t>
  </si>
  <si>
    <t>VMX82R6993</t>
  </si>
  <si>
    <t>82172/000R-9888</t>
  </si>
  <si>
    <t>VMX81G7690</t>
  </si>
  <si>
    <t>81761/QB1G-9862</t>
  </si>
  <si>
    <t>Traditionnelle manual-winding jewellery</t>
  </si>
  <si>
    <t>3,920,000 AED</t>
  </si>
  <si>
    <t>VMX82G7889</t>
  </si>
  <si>
    <t>82761/QC1G-9852</t>
  </si>
  <si>
    <t>4,530,000 AED</t>
  </si>
  <si>
    <t>VMX85R7700</t>
  </si>
  <si>
    <t>85290/000R-9969</t>
  </si>
  <si>
    <t>VMX83G7341</t>
  </si>
  <si>
    <t>83570/000G-9916</t>
  </si>
  <si>
    <t>171,000 AED</t>
  </si>
  <si>
    <t>VMX83R8850</t>
  </si>
  <si>
    <t>83520/000R-9909</t>
  </si>
  <si>
    <t>143,000 AED</t>
  </si>
  <si>
    <t>VMX83R8832</t>
  </si>
  <si>
    <t>83020/000R-9909</t>
  </si>
  <si>
    <t>VMX83R7342</t>
  </si>
  <si>
    <t>83570/000R-9915</t>
  </si>
  <si>
    <t>VMX30R6424</t>
  </si>
  <si>
    <t>30110/000R-9793</t>
  </si>
  <si>
    <t>1,220,000 AED</t>
  </si>
  <si>
    <t>VMX81R8614</t>
  </si>
  <si>
    <t>81180/000R-9162</t>
  </si>
  <si>
    <t>VMX81R7710</t>
  </si>
  <si>
    <t>81515/000R-9892</t>
  </si>
  <si>
    <t>137,000 AED</t>
  </si>
  <si>
    <t>VMX81G7711</t>
  </si>
  <si>
    <t>81515/000G-9891</t>
  </si>
  <si>
    <t>VMX81G7596</t>
  </si>
  <si>
    <t>81510/000G-9895</t>
  </si>
  <si>
    <t>VMX82R4986</t>
  </si>
  <si>
    <t>82572/000R-9604</t>
  </si>
  <si>
    <t>VMX82G4985</t>
  </si>
  <si>
    <t>82572/000G-9605</t>
  </si>
  <si>
    <t>VMX43R5540</t>
  </si>
  <si>
    <t>VMX82P6288</t>
  </si>
  <si>
    <t>82172/000P-9811</t>
  </si>
  <si>
    <t>103,000 AED</t>
  </si>
  <si>
    <t>VMX81G6432</t>
  </si>
  <si>
    <t>81760/000G-9862</t>
  </si>
  <si>
    <t>1,180,000 AED</t>
  </si>
  <si>
    <t>VMX85R6366</t>
  </si>
  <si>
    <t>85520/000R-9850</t>
  </si>
  <si>
    <t>VMX30R5618</t>
  </si>
  <si>
    <t>30130/000R-9754</t>
  </si>
  <si>
    <t>VMX25G9833</t>
  </si>
  <si>
    <t>25530/000G-9801</t>
  </si>
  <si>
    <t>Malte quartz</t>
  </si>
  <si>
    <t>VMX25G9832</t>
  </si>
  <si>
    <t>25530/000G-9741</t>
  </si>
  <si>
    <t>84,500 AED</t>
  </si>
  <si>
    <t>VMX17G0427</t>
  </si>
  <si>
    <t>17626/S13G-9479</t>
  </si>
  <si>
    <t>Métiers d'Art Kalla Haute Couture à Pampilles</t>
  </si>
  <si>
    <t>2,770,000 AED</t>
  </si>
  <si>
    <t>VMX81J6986</t>
  </si>
  <si>
    <t>81180/000J-9118</t>
  </si>
  <si>
    <t>VMX81G6987</t>
  </si>
  <si>
    <t>81180/000G-9117</t>
  </si>
  <si>
    <t>VMX81R7625</t>
  </si>
  <si>
    <t>81180/000R-9159</t>
  </si>
  <si>
    <t>VMX85J8417</t>
  </si>
  <si>
    <t>85180/000J-9231</t>
  </si>
  <si>
    <t>VMX85G8413</t>
  </si>
  <si>
    <t>85180/000G-9230</t>
  </si>
  <si>
    <t>VMX85R9006</t>
  </si>
  <si>
    <t>VMX81R9178</t>
  </si>
  <si>
    <t>81180/000R-9283</t>
  </si>
  <si>
    <t>VMX81P2723</t>
  </si>
  <si>
    <t>81180/000P-9539</t>
  </si>
  <si>
    <t>107,000 AED</t>
  </si>
  <si>
    <t>VMX81R4720</t>
  </si>
  <si>
    <t>81530/000R-9682</t>
  </si>
  <si>
    <t>VMX81G4721</t>
  </si>
  <si>
    <t>81530/000G-9681</t>
  </si>
  <si>
    <t>VMX43R4740</t>
  </si>
  <si>
    <t>VMX82R1316</t>
  </si>
  <si>
    <t>VMX33R2789</t>
  </si>
  <si>
    <t>33155/000R-9588</t>
  </si>
  <si>
    <t>Historiques Ultra-fine 1955</t>
  </si>
  <si>
    <t>VMX87R9195</t>
  </si>
  <si>
    <t>87172/000R-9302</t>
  </si>
  <si>
    <t>VMX87G9194</t>
  </si>
  <si>
    <t>87172/000G-9301</t>
  </si>
  <si>
    <t>VMX80R9193</t>
  </si>
  <si>
    <t>80172/000R-9300</t>
  </si>
  <si>
    <t>Traditionnelle Grandes Complications</t>
  </si>
  <si>
    <t>VMX82R1777</t>
  </si>
  <si>
    <t>82172/000R-9382</t>
  </si>
  <si>
    <t>VMX87J2691</t>
  </si>
  <si>
    <t>87172/000J-9512</t>
  </si>
  <si>
    <t>VMX82G1776</t>
  </si>
  <si>
    <t>82172/000G-9383</t>
  </si>
  <si>
    <t>VMX80P2728</t>
  </si>
  <si>
    <t>80172/000P-9505</t>
  </si>
  <si>
    <t>2,920,000 AED</t>
  </si>
  <si>
    <t>VMX17G2089</t>
  </si>
  <si>
    <t>17625/S12G-9479</t>
  </si>
  <si>
    <t>Métiers d'Art Kalla Haute Couture à Secret</t>
  </si>
  <si>
    <t>3,820,000 AED</t>
  </si>
  <si>
    <t>X82PH063</t>
  </si>
  <si>
    <t>Historiques American 1921 (Arabic Numerals)</t>
  </si>
  <si>
    <t xml:space="preserve"> 192,000 AED</t>
  </si>
  <si>
    <t>X40PH038</t>
  </si>
  <si>
    <t>263,000 AED</t>
  </si>
  <si>
    <t>VMX14J161C</t>
  </si>
  <si>
    <t>Miniature - Ode to Amaterasu</t>
  </si>
  <si>
    <t>VMX98T181C</t>
  </si>
  <si>
    <t>Armillary tourbillon</t>
  </si>
  <si>
    <t xml:space="preserve">Allocation in July </t>
  </si>
  <si>
    <t>Client informed and waiting for his confirmation - followed up with the client - no reply yet</t>
  </si>
  <si>
    <t>RQS-UAE-119810</t>
  </si>
  <si>
    <t xml:space="preserve">4520V/210A-B483 </t>
  </si>
  <si>
    <t>A birthday gift for himself</t>
  </si>
  <si>
    <t>Client informed - He viewed the OVS Dual time black but will update us on his decision once he is back from his travels</t>
  </si>
  <si>
    <t xml:space="preserve">                                                                                                                                                                                                                                                                                                                </t>
  </si>
  <si>
    <t>{"hash":"cd6553ab58cfd6d5963fb4158d2762904d1f0d657c009585a541f9b7b68793d7","version":1,"value":"[[\"This Excel formula performs the following actions:\\n\\n1. **VLOOKUP Function**: It searches for the value in cell `R13` within the range `'Open-Pending Cases'!$D$5:$R$500`.\\n\\n2. **First VLOOKUP**: It checks the 16th column of the specified range to see if the corresponding value is \\\"OPEN\\\".\\n\\n3. **IF Function**: \\n   - If the value found in the 16th column is \\\"OPEN\\\", the formula executes the second VLOOKUP.\\n   - If the value is not \\\"OPEN\\\", the formula returns an empty string (`\\\"\\\"`).\\n\\n4. **Second VLOOKUP**: If the condition is met, it retrieves the value from the 10th column of the same range.\\n\\nIn summary, the formula checks if the entry corresponding to `R13` in the 16th column is \\\"OPEN\\\". If true, it returns the value from the 10th column; otherwise, it returns an empty string.\"]]"}</t>
  </si>
  <si>
    <t>RQS-UAE-119758</t>
  </si>
  <si>
    <t>April</t>
  </si>
  <si>
    <t>T-127162035</t>
  </si>
  <si>
    <t xml:space="preserve">The client will visit Dubai between 23 -27 April.Latest update: He is also interested in reference 5520V/210R-B952. He would like to view both timepieces before making a decision. He mentioned that if neither piece is available during his visit, he will consider traveling to Europe. </t>
  </si>
  <si>
    <t xml:space="preserve"> Lead shared with the BTQ </t>
  </si>
  <si>
    <t>RQS-UAE-119731</t>
  </si>
  <si>
    <t>May</t>
  </si>
  <si>
    <t>Paid Deposit - Bank Transfer - At Boutique</t>
  </si>
  <si>
    <t xml:space="preserve">still not reflected </t>
  </si>
  <si>
    <t xml:space="preserve">The client viewed the piece at the KC boutique and would like to proceed with the purchase. Harriet approved the client to pay 20% now and the remaining 20% after two days(Due to bank restrictions)
</t>
  </si>
  <si>
    <t>The lead has been shared with the MOE boutique, and the piece has been reserved for him.</t>
  </si>
  <si>
    <t xml:space="preserve"> The client paid deposit and will visit UAE end of April to complete the purchase. </t>
  </si>
  <si>
    <t xml:space="preserve">4300V/220R-B547 </t>
  </si>
  <si>
    <t>T-126751926</t>
  </si>
  <si>
    <t>The client is coming from Singapore and interested in these 2 pieces. He prefers Rose gold as it matches skin tone and like skeleton timepieces</t>
  </si>
  <si>
    <t xml:space="preserve">Sold </t>
  </si>
  <si>
    <t>RQS-UAE-119949</t>
  </si>
  <si>
    <t>T-127711707</t>
  </si>
  <si>
    <t>He’s looking for a special gift for himself to celebrate his anniversary, as a watch enthusiast who already owns several Rolex pieces.</t>
  </si>
  <si>
    <t>Allocation End of April</t>
  </si>
  <si>
    <t>Allocated to Suite 1755 - purchase 10th of May</t>
  </si>
  <si>
    <t xml:space="preserve">4020T/000P-H038 </t>
  </si>
  <si>
    <t xml:space="preserve">The client is looking for a gift for his father( a watch collector) - He viewed this timepiece and paid deposit </t>
  </si>
  <si>
    <t xml:space="preserve">Allocated in Suite 1755 </t>
  </si>
  <si>
    <t>Waiting for the client to pick up the piece</t>
  </si>
  <si>
    <t xml:space="preserve">4520V/210R-B967 </t>
  </si>
  <si>
    <t>Update - Client is not interested anymore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</si>
</sst>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d\-mmm\-yyyy"/>
    <numFmt numFmtId="165" formatCode="[$-409]dd\-mmmm\-yy;@"/>
    <numFmt numFmtId="166" formatCode="[$AED]\ #,##0"/>
    <numFmt numFmtId="167" formatCode="[$-409]mmmmm\-yy;@"/>
    <numFmt numFmtId="168" formatCode="[$AED]\ #,##0.00"/>
    <numFmt numFmtId="169" formatCode="_([$AED]\ * #,##0_);_([$AED]\ * \(#,##0\);_([$AED]\ * &quot;-&quot;_);_(@_)"/>
  </numFmts>
  <fonts count="39" x14ac:knownFonts="1">
    <font>
      <sz val="11"/>
      <color theme="1"/>
      <name val="Calibri"/>
      <family val="2"/>
      <scheme val="minor"/>
    </font>
    <font>
      <sz val="11"/>
      <color theme="1"/>
      <name val="Century Gothic"/>
      <family val="2"/>
    </font>
    <font>
      <u/>
      <sz val="11"/>
      <color theme="10"/>
      <name val="Calibri"/>
      <family val="2"/>
      <scheme val="minor"/>
    </font>
    <font>
      <b/>
      <sz val="12"/>
      <color theme="1"/>
      <name val="Calibri"/>
      <family val="2"/>
      <scheme val="minor"/>
    </font>
    <font>
      <sz val="8"/>
      <name val="Calibri"/>
      <family val="2"/>
      <scheme val="minor"/>
    </font>
    <font>
      <b/>
      <sz val="12"/>
      <color theme="0"/>
      <name val="Century Gothic"/>
      <family val="2"/>
    </font>
    <font>
      <b/>
      <sz val="11"/>
      <color theme="1"/>
      <name val="Calibri"/>
      <family val="2"/>
      <scheme val="minor"/>
    </font>
    <font>
      <sz val="11"/>
      <color theme="1"/>
      <name val="Arial Black"/>
      <family val="2"/>
    </font>
    <font>
      <b/>
      <sz val="12"/>
      <color theme="1"/>
      <name val="Arial Black"/>
      <family val="2"/>
    </font>
    <font>
      <b/>
      <sz val="11"/>
      <color theme="0"/>
      <name val="Arial Black"/>
      <family val="2"/>
    </font>
    <font>
      <b/>
      <sz val="11"/>
      <color theme="1"/>
      <name val="Arial Black"/>
      <family val="2"/>
    </font>
    <font>
      <b/>
      <sz val="11"/>
      <color theme="1"/>
      <name val="Century Gothic"/>
      <family val="2"/>
    </font>
    <font>
      <sz val="10"/>
      <color theme="1"/>
      <name val="Arial Black"/>
      <family val="2"/>
    </font>
    <font>
      <sz val="12"/>
      <color rgb="FF000000"/>
      <name val="Calibri"/>
      <family val="2"/>
    </font>
    <font>
      <b/>
      <sz val="11"/>
      <color rgb="FF000000"/>
      <name val="Calibri"/>
      <family val="2"/>
      <scheme val="minor"/>
    </font>
    <font>
      <b/>
      <sz val="14"/>
      <color theme="1"/>
      <name val="Calibri"/>
      <family val="2"/>
      <scheme val="minor"/>
    </font>
    <font>
      <sz val="14"/>
      <color theme="1"/>
      <name val="Calibri"/>
      <family val="2"/>
      <scheme val="minor"/>
    </font>
    <font>
      <sz val="14"/>
      <color theme="1"/>
      <name val="Calibri"/>
      <family val="2"/>
    </font>
    <font>
      <u/>
      <sz val="14"/>
      <color theme="10"/>
      <name val="Calibri"/>
      <family val="2"/>
      <scheme val="minor"/>
    </font>
    <font>
      <sz val="14"/>
      <color theme="10"/>
      <name val="Calibri"/>
      <family val="2"/>
      <scheme val="minor"/>
    </font>
    <font>
      <b/>
      <sz val="14"/>
      <color theme="3" tint="-0.249977111117893"/>
      <name val="Calibri"/>
      <family val="2"/>
      <scheme val="minor"/>
    </font>
    <font>
      <sz val="14"/>
      <color rgb="FF000000"/>
      <name val="Calibri"/>
      <family val="2"/>
      <scheme val="minor"/>
    </font>
    <font>
      <sz val="14"/>
      <name val="Calibri"/>
      <family val="2"/>
      <scheme val="minor"/>
    </font>
    <font>
      <sz val="11"/>
      <color rgb="FF000000"/>
      <name val="Aptos Narrow"/>
      <family val="2"/>
    </font>
    <font>
      <b/>
      <sz val="12"/>
      <color theme="4" tint="-0.499984740745262"/>
      <name val="Century Gothic"/>
      <family val="2"/>
    </font>
    <font>
      <sz val="12"/>
      <color theme="4" tint="-0.499984740745262"/>
      <name val="Century Gothic"/>
      <family val="2"/>
    </font>
    <font>
      <b/>
      <sz val="10"/>
      <color theme="1"/>
      <name val="Arial Black"/>
      <family val="2"/>
    </font>
    <font>
      <b/>
      <sz val="14"/>
      <color rgb="FFFF0000"/>
      <name val="Calibri"/>
      <family val="2"/>
      <scheme val="minor"/>
    </font>
    <font>
      <b/>
      <sz val="14"/>
      <color rgb="FFED0000"/>
      <name val="Calibri"/>
      <family val="2"/>
      <scheme val="minor"/>
    </font>
    <font>
      <sz val="12"/>
      <color rgb="FF000000"/>
      <name val="Aptos"/>
      <family val="2"/>
      <charset val="1"/>
    </font>
    <font>
      <b/>
      <sz val="11"/>
      <name val="Calibri"/>
      <family val="2"/>
      <scheme val="minor"/>
    </font>
    <font>
      <b/>
      <sz val="11"/>
      <color theme="0"/>
      <name val="Calibri"/>
      <family val="2"/>
      <scheme val="minor"/>
    </font>
    <font>
      <sz val="11"/>
      <color theme="0"/>
      <name val="Calibri"/>
      <family val="2"/>
      <scheme val="minor"/>
    </font>
    <font>
      <sz val="18"/>
      <color theme="4" tint="-0.499984740745262"/>
      <name val="Calibri"/>
      <family val="2"/>
      <scheme val="minor"/>
    </font>
    <font>
      <sz val="11"/>
      <color theme="1"/>
      <name val="Calibri"/>
      <family val="2"/>
      <scheme val="minor"/>
    </font>
    <font>
      <b/>
      <sz val="26"/>
      <color theme="1"/>
      <name val="Calibri"/>
      <family val="2"/>
      <scheme val="minor"/>
    </font>
    <font>
      <b/>
      <sz val="11"/>
      <name val="Arial Black"/>
      <family val="2"/>
    </font>
    <font>
      <b/>
      <sz val="14"/>
      <color rgb="FF000000"/>
      <name val="Calibri"/>
      <family val="2"/>
      <scheme val="minor"/>
    </font>
    <font>
      <b/>
      <sz val="26"/>
      <name val="Century Gothic"/>
      <family val="2"/>
    </font>
  </fonts>
  <fills count="14">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9"/>
        <bgColor indexed="64"/>
      </patternFill>
    </fill>
    <fill>
      <patternFill patternType="solid">
        <fgColor theme="6" tint="-0.499984740745262"/>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rgb="FFF2F2F2"/>
        <bgColor indexed="64"/>
      </patternFill>
    </fill>
    <fill>
      <patternFill patternType="solid">
        <fgColor rgb="FF92D050"/>
        <bgColor indexed="64"/>
      </patternFill>
    </fill>
    <fill>
      <patternFill patternType="solid">
        <fgColor theme="9" tint="-0.499984740745262"/>
        <bgColor indexed="64"/>
      </patternFill>
    </fill>
    <fill>
      <patternFill patternType="solid">
        <fgColor theme="6" tint="0.39997558519241921"/>
        <bgColor indexed="64"/>
      </patternFill>
    </fill>
    <fill>
      <patternFill patternType="solid">
        <fgColor theme="6"/>
        <bgColor indexed="64"/>
      </patternFill>
    </fill>
  </fills>
  <borders count="23">
    <border>
      <left/>
      <right/>
      <top/>
      <bottom/>
      <diagonal/>
    </border>
    <border>
      <left style="thin">
        <color theme="5" tint="0.39997558519241921"/>
      </left>
      <right style="thin">
        <color theme="5" tint="0.39997558519241921"/>
      </right>
      <top style="thin">
        <color theme="5" tint="0.39997558519241921"/>
      </top>
      <bottom style="thin">
        <color theme="5" tint="0.3999755851924192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auto="1"/>
      </left>
      <right style="thin">
        <color auto="1"/>
      </right>
      <top/>
      <bottom/>
      <diagonal/>
    </border>
    <border>
      <left/>
      <right style="thin">
        <color auto="1"/>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theme="5" tint="0.39997558519241921"/>
      </left>
      <right style="thin">
        <color theme="5" tint="0.39997558519241921"/>
      </right>
      <top style="thin">
        <color theme="5" tint="0.39997558519241921"/>
      </top>
      <bottom/>
      <diagonal/>
    </border>
    <border>
      <left/>
      <right style="thin">
        <color indexed="64"/>
      </right>
      <top style="thin">
        <color indexed="64"/>
      </top>
      <bottom/>
      <diagonal/>
    </border>
    <border>
      <left style="thin">
        <color indexed="64"/>
      </left>
      <right/>
      <top style="thin">
        <color indexed="64"/>
      </top>
      <bottom/>
      <diagonal/>
    </border>
    <border>
      <left style="thin">
        <color auto="1"/>
      </left>
      <right style="thin">
        <color auto="1"/>
      </right>
      <top style="thin">
        <color auto="1"/>
      </top>
      <bottom/>
      <diagonal/>
    </border>
    <border>
      <left style="medium">
        <color indexed="64"/>
      </left>
      <right style="medium">
        <color indexed="64"/>
      </right>
      <top style="medium">
        <color indexed="64"/>
      </top>
      <bottom style="medium">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s>
  <cellStyleXfs count="3">
    <xf numFmtId="0" fontId="0" fillId="0" borderId="0"/>
    <xf numFmtId="0" fontId="2" fillId="0" borderId="0" applyNumberFormat="0" applyFill="0" applyBorder="0" applyAlignment="0" applyProtection="0"/>
    <xf numFmtId="44" fontId="34" fillId="0" borderId="0" applyFont="0" applyFill="0" applyBorder="0" applyAlignment="0" applyProtection="0"/>
  </cellStyleXfs>
  <cellXfs count="230">
    <xf numFmtId="0" fontId="0" fillId="0" borderId="0" xfId="0"/>
    <xf numFmtId="0" fontId="1"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xf>
    <xf numFmtId="0" fontId="0" fillId="0" borderId="3" xfId="0" applyBorder="1" applyAlignment="1">
      <alignment horizontal="center" vertical="center" wrapText="1"/>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1" fontId="1" fillId="0" borderId="0" xfId="0" applyNumberFormat="1" applyFont="1" applyAlignment="1">
      <alignment horizontal="center" vertical="center"/>
    </xf>
    <xf numFmtId="1" fontId="0" fillId="0" borderId="0" xfId="0" applyNumberFormat="1" applyAlignment="1">
      <alignment horizontal="center" vertical="center"/>
    </xf>
    <xf numFmtId="0" fontId="6" fillId="0" borderId="0" xfId="0" applyFont="1" applyAlignment="1">
      <alignment horizontal="center" vertical="center"/>
    </xf>
    <xf numFmtId="0" fontId="7" fillId="0" borderId="0" xfId="0" applyFont="1"/>
    <xf numFmtId="0" fontId="7" fillId="2" borderId="1" xfId="0" applyFont="1" applyFill="1" applyBorder="1" applyAlignment="1">
      <alignment horizontal="center" vertical="center" wrapText="1"/>
    </xf>
    <xf numFmtId="0" fontId="10" fillId="0" borderId="0" xfId="0" applyFont="1"/>
    <xf numFmtId="164" fontId="10" fillId="2" borderId="1" xfId="0" applyNumberFormat="1" applyFont="1" applyFill="1" applyBorder="1" applyAlignment="1" applyProtection="1">
      <alignment horizontal="center" vertical="center"/>
      <protection locked="0" hidden="1"/>
    </xf>
    <xf numFmtId="0" fontId="7" fillId="0" borderId="0" xfId="0" applyFont="1" applyProtection="1">
      <protection locked="0" hidden="1"/>
    </xf>
    <xf numFmtId="165" fontId="7" fillId="0" borderId="0" xfId="0" applyNumberFormat="1" applyFont="1" applyProtection="1">
      <protection hidden="1"/>
    </xf>
    <xf numFmtId="0" fontId="7" fillId="0" borderId="0" xfId="0" applyFont="1" applyProtection="1">
      <protection hidden="1"/>
    </xf>
    <xf numFmtId="0" fontId="5" fillId="7" borderId="8" xfId="0" applyFont="1" applyFill="1" applyBorder="1" applyAlignment="1" applyProtection="1">
      <alignment horizontal="center" vertical="center"/>
      <protection hidden="1"/>
    </xf>
    <xf numFmtId="0" fontId="5" fillId="7" borderId="8" xfId="0" applyFont="1" applyFill="1" applyBorder="1" applyAlignment="1" applyProtection="1">
      <alignment horizontal="center" vertical="center" wrapText="1"/>
      <protection hidden="1"/>
    </xf>
    <xf numFmtId="0" fontId="0" fillId="0" borderId="2" xfId="0" pivotButton="1" applyBorder="1" applyAlignment="1">
      <alignment horizontal="center"/>
    </xf>
    <xf numFmtId="0" fontId="0" fillId="0" borderId="0" xfId="0" applyAlignment="1">
      <alignment wrapText="1"/>
    </xf>
    <xf numFmtId="0" fontId="0" fillId="0" borderId="0" xfId="0">
      <extLst>
        <ext xmlns:xfpb="http://schemas.microsoft.com/office/spreadsheetml/2022/featurepropertybag" uri="{C7286773-470A-42A8-94C5-96B5CB345126}">
          <xfpb:xfComplement i="0"/>
        </ext>
      </extLst>
    </xf>
    <xf numFmtId="0" fontId="7" fillId="0" borderId="0" xfId="0" applyFont="1" applyAlignment="1">
      <alignment wrapText="1"/>
    </xf>
    <xf numFmtId="164" fontId="10" fillId="2" borderId="1" xfId="0" applyNumberFormat="1" applyFont="1" applyFill="1" applyBorder="1" applyAlignment="1" applyProtection="1">
      <alignment horizontal="center" vertical="center" wrapText="1"/>
      <protection hidden="1"/>
    </xf>
    <xf numFmtId="0" fontId="10" fillId="2" borderId="1" xfId="0" applyFont="1" applyFill="1" applyBorder="1" applyAlignment="1" applyProtection="1">
      <alignment horizontal="center" vertical="center" wrapText="1"/>
      <protection hidden="1"/>
    </xf>
    <xf numFmtId="1" fontId="0" fillId="0" borderId="4" xfId="0" applyNumberFormat="1" applyBorder="1" applyAlignment="1">
      <alignment horizontal="center"/>
    </xf>
    <xf numFmtId="1" fontId="0" fillId="0" borderId="4" xfId="0" applyNumberFormat="1" applyBorder="1" applyAlignment="1">
      <alignment horizontal="center" vertical="center" wrapText="1"/>
    </xf>
    <xf numFmtId="2" fontId="10" fillId="2" borderId="1" xfId="0" applyNumberFormat="1" applyFont="1" applyFill="1" applyBorder="1" applyAlignment="1" applyProtection="1">
      <alignment horizontal="center" vertical="center" wrapText="1"/>
      <protection hidden="1"/>
    </xf>
    <xf numFmtId="0" fontId="11" fillId="0" borderId="0" xfId="0" applyFont="1" applyAlignment="1">
      <alignment horizontal="center" vertical="center"/>
    </xf>
    <xf numFmtId="49" fontId="1" fillId="0" borderId="0" xfId="0" applyNumberFormat="1" applyFont="1" applyAlignment="1">
      <alignment horizontal="center" vertical="center"/>
    </xf>
    <xf numFmtId="49" fontId="5" fillId="7" borderId="8" xfId="0" applyNumberFormat="1" applyFont="1" applyFill="1" applyBorder="1" applyAlignment="1" applyProtection="1">
      <alignment horizontal="center" vertical="center" wrapText="1"/>
      <protection hidden="1"/>
    </xf>
    <xf numFmtId="49" fontId="0" fillId="0" borderId="0" xfId="0" applyNumberFormat="1" applyAlignment="1">
      <alignment horizontal="center" vertical="center"/>
    </xf>
    <xf numFmtId="164" fontId="12" fillId="2" borderId="1" xfId="0" applyNumberFormat="1" applyFont="1" applyFill="1" applyBorder="1" applyAlignment="1" applyProtection="1">
      <alignment horizontal="center" vertical="center"/>
      <protection locked="0" hidden="1"/>
    </xf>
    <xf numFmtId="0" fontId="12" fillId="2" borderId="1" xfId="0" applyFont="1" applyFill="1" applyBorder="1" applyAlignment="1" applyProtection="1">
      <alignment horizontal="center" vertical="center"/>
      <protection locked="0" hidden="1"/>
    </xf>
    <xf numFmtId="0" fontId="12" fillId="0" borderId="0" xfId="0" applyFont="1" applyProtection="1">
      <protection locked="0" hidden="1"/>
    </xf>
    <xf numFmtId="0" fontId="3" fillId="2" borderId="0" xfId="0" applyFont="1" applyFill="1" applyAlignment="1" applyProtection="1">
      <alignment horizontal="center" vertical="center"/>
      <protection locked="0" hidden="1"/>
    </xf>
    <xf numFmtId="164" fontId="10" fillId="2" borderId="1" xfId="0" applyNumberFormat="1" applyFont="1" applyFill="1" applyBorder="1" applyAlignment="1" applyProtection="1">
      <alignment horizontal="center" vertical="center"/>
      <protection hidden="1"/>
    </xf>
    <xf numFmtId="0" fontId="1" fillId="0" borderId="0" xfId="0" applyFont="1" applyAlignment="1">
      <alignment horizontal="center" vertical="center" wrapText="1"/>
    </xf>
    <xf numFmtId="166" fontId="0" fillId="0" borderId="0" xfId="0" applyNumberFormat="1"/>
    <xf numFmtId="0" fontId="13" fillId="0" borderId="0" xfId="0" applyFont="1" applyAlignment="1">
      <alignment wrapText="1"/>
    </xf>
    <xf numFmtId="0" fontId="13" fillId="0" borderId="9" xfId="0" applyFont="1" applyBorder="1" applyAlignment="1">
      <alignment wrapText="1"/>
    </xf>
    <xf numFmtId="0" fontId="14" fillId="0" borderId="0" xfId="0" applyFont="1" applyAlignment="1">
      <alignment wrapText="1"/>
    </xf>
    <xf numFmtId="0" fontId="13" fillId="0" borderId="10" xfId="0" applyFont="1" applyBorder="1" applyAlignment="1">
      <alignment wrapText="1"/>
    </xf>
    <xf numFmtId="14" fontId="13" fillId="0" borderId="10" xfId="0" applyNumberFormat="1" applyFont="1" applyBorder="1" applyAlignment="1">
      <alignment wrapText="1"/>
    </xf>
    <xf numFmtId="0" fontId="13" fillId="0" borderId="10" xfId="0" quotePrefix="1" applyFont="1" applyBorder="1" applyAlignment="1">
      <alignment wrapText="1"/>
    </xf>
    <xf numFmtId="166" fontId="13" fillId="0" borderId="10" xfId="0" applyNumberFormat="1" applyFont="1" applyBorder="1" applyAlignment="1">
      <alignment wrapText="1"/>
    </xf>
    <xf numFmtId="0" fontId="9" fillId="5" borderId="0" xfId="0" applyFont="1" applyFill="1" applyAlignment="1">
      <alignment horizontal="center" vertical="center" wrapText="1"/>
    </xf>
    <xf numFmtId="49" fontId="12" fillId="2" borderId="1" xfId="0" applyNumberFormat="1" applyFont="1" applyFill="1" applyBorder="1" applyAlignment="1" applyProtection="1">
      <alignment horizontal="center" vertical="center"/>
      <protection locked="0" hidden="1"/>
    </xf>
    <xf numFmtId="0" fontId="7" fillId="0" borderId="0" xfId="0" applyFont="1" applyAlignment="1" applyProtection="1">
      <alignment wrapText="1"/>
      <protection hidden="1"/>
    </xf>
    <xf numFmtId="166" fontId="7" fillId="0" borderId="0" xfId="0" applyNumberFormat="1" applyFont="1" applyProtection="1">
      <protection hidden="1"/>
    </xf>
    <xf numFmtId="0" fontId="10" fillId="2" borderId="15" xfId="0" applyFont="1" applyFill="1" applyBorder="1" applyAlignment="1" applyProtection="1">
      <alignment horizontal="center" vertical="center" wrapText="1"/>
      <protection hidden="1"/>
    </xf>
    <xf numFmtId="0" fontId="0" fillId="0" borderId="16" xfId="0" applyBorder="1" applyAlignment="1">
      <alignment horizontal="center"/>
    </xf>
    <xf numFmtId="1" fontId="0" fillId="0" borderId="17" xfId="0" applyNumberFormat="1" applyBorder="1" applyAlignment="1">
      <alignment horizontal="center"/>
    </xf>
    <xf numFmtId="2" fontId="0" fillId="0" borderId="17" xfId="0" applyNumberFormat="1" applyBorder="1" applyAlignment="1">
      <alignment horizontal="center"/>
    </xf>
    <xf numFmtId="0" fontId="15" fillId="2" borderId="14" xfId="0" applyFont="1" applyFill="1" applyBorder="1" applyAlignment="1">
      <alignment horizontal="center" vertical="center"/>
    </xf>
    <xf numFmtId="0" fontId="16" fillId="2" borderId="10" xfId="0" applyFont="1" applyFill="1" applyBorder="1" applyAlignment="1" applyProtection="1">
      <alignment horizontal="center" vertical="center"/>
      <protection locked="0" hidden="1"/>
    </xf>
    <xf numFmtId="0" fontId="15" fillId="2" borderId="10" xfId="0" applyFont="1" applyFill="1" applyBorder="1" applyAlignment="1" applyProtection="1">
      <alignment horizontal="center" vertical="center"/>
      <protection locked="0" hidden="1"/>
    </xf>
    <xf numFmtId="4" fontId="18" fillId="2" borderId="10" xfId="1" applyNumberFormat="1" applyFont="1" applyFill="1" applyBorder="1" applyAlignment="1" applyProtection="1">
      <alignment horizontal="center" vertical="center"/>
      <protection locked="0" hidden="1"/>
    </xf>
    <xf numFmtId="0" fontId="19" fillId="2" borderId="10" xfId="1" applyNumberFormat="1" applyFont="1" applyFill="1" applyBorder="1" applyAlignment="1" applyProtection="1">
      <alignment horizontal="center" vertical="center"/>
      <protection locked="0" hidden="1"/>
    </xf>
    <xf numFmtId="1" fontId="16" fillId="2" borderId="10" xfId="0" applyNumberFormat="1" applyFont="1" applyFill="1" applyBorder="1" applyAlignment="1" applyProtection="1">
      <alignment horizontal="center" vertical="center"/>
      <protection locked="0" hidden="1"/>
    </xf>
    <xf numFmtId="0" fontId="16" fillId="0" borderId="10" xfId="0" applyFont="1" applyBorder="1" applyAlignment="1" applyProtection="1">
      <alignment horizontal="center"/>
      <protection locked="0" hidden="1"/>
    </xf>
    <xf numFmtId="164" fontId="16" fillId="2" borderId="10" xfId="0" applyNumberFormat="1" applyFont="1" applyFill="1" applyBorder="1" applyAlignment="1" applyProtection="1">
      <alignment horizontal="center" vertical="center"/>
      <protection locked="0" hidden="1"/>
    </xf>
    <xf numFmtId="2" fontId="16" fillId="2" borderId="10" xfId="0" applyNumberFormat="1" applyFont="1" applyFill="1" applyBorder="1" applyAlignment="1" applyProtection="1">
      <alignment horizontal="center" vertical="center"/>
      <protection locked="0" hidden="1"/>
    </xf>
    <xf numFmtId="49" fontId="15" fillId="6" borderId="10" xfId="0" applyNumberFormat="1" applyFont="1" applyFill="1" applyBorder="1" applyAlignment="1" applyProtection="1">
      <alignment horizontal="center" vertical="center"/>
      <protection locked="0" hidden="1"/>
    </xf>
    <xf numFmtId="164" fontId="16" fillId="2" borderId="10" xfId="0" applyNumberFormat="1" applyFont="1" applyFill="1" applyBorder="1" applyAlignment="1" applyProtection="1">
      <alignment horizontal="center" vertical="center"/>
      <protection hidden="1"/>
    </xf>
    <xf numFmtId="14" fontId="16" fillId="2" borderId="10" xfId="0" applyNumberFormat="1" applyFont="1" applyFill="1" applyBorder="1" applyAlignment="1" applyProtection="1">
      <alignment horizontal="center" vertical="center"/>
      <protection locked="0" hidden="1"/>
    </xf>
    <xf numFmtId="0" fontId="16" fillId="2" borderId="11" xfId="0" applyFont="1" applyFill="1" applyBorder="1" applyAlignment="1" applyProtection="1">
      <alignment horizontal="center" vertical="center"/>
      <protection locked="0" hidden="1"/>
    </xf>
    <xf numFmtId="49" fontId="20" fillId="2" borderId="10" xfId="0" applyNumberFormat="1" applyFont="1" applyFill="1" applyBorder="1" applyAlignment="1" applyProtection="1">
      <alignment horizontal="center" vertical="center"/>
      <protection locked="0" hidden="1"/>
    </xf>
    <xf numFmtId="0" fontId="16" fillId="2" borderId="0" xfId="0" applyFont="1" applyFill="1" applyAlignment="1" applyProtection="1">
      <alignment horizontal="center" vertical="center"/>
      <protection locked="0" hidden="1"/>
    </xf>
    <xf numFmtId="0" fontId="23" fillId="0" borderId="0" xfId="0" applyFont="1"/>
    <xf numFmtId="0" fontId="24" fillId="7" borderId="9" xfId="0" applyFont="1" applyFill="1" applyBorder="1" applyAlignment="1" applyProtection="1">
      <alignment horizontal="center" vertical="center"/>
      <protection hidden="1"/>
    </xf>
    <xf numFmtId="0" fontId="24" fillId="7" borderId="8" xfId="0" applyFont="1" applyFill="1" applyBorder="1" applyAlignment="1" applyProtection="1">
      <alignment horizontal="center" vertical="center"/>
      <protection hidden="1"/>
    </xf>
    <xf numFmtId="0" fontId="24" fillId="7" borderId="8" xfId="0" applyFont="1" applyFill="1" applyBorder="1" applyAlignment="1" applyProtection="1">
      <alignment horizontal="center" vertical="center" wrapText="1"/>
      <protection hidden="1"/>
    </xf>
    <xf numFmtId="1" fontId="24" fillId="7" borderId="8" xfId="0" applyNumberFormat="1" applyFont="1" applyFill="1" applyBorder="1" applyAlignment="1" applyProtection="1">
      <alignment horizontal="center" vertical="center"/>
      <protection hidden="1"/>
    </xf>
    <xf numFmtId="0" fontId="25" fillId="7" borderId="8" xfId="0" applyFont="1" applyFill="1" applyBorder="1" applyAlignment="1" applyProtection="1">
      <alignment horizontal="center" vertical="center"/>
      <protection hidden="1"/>
    </xf>
    <xf numFmtId="0" fontId="10" fillId="5" borderId="8" xfId="0" applyFont="1" applyFill="1" applyBorder="1" applyAlignment="1">
      <alignment horizontal="center" vertical="center" wrapText="1"/>
    </xf>
    <xf numFmtId="0" fontId="10" fillId="5" borderId="8" xfId="0" applyFont="1" applyFill="1" applyBorder="1" applyAlignment="1">
      <alignment horizontal="center" vertical="center"/>
    </xf>
    <xf numFmtId="164" fontId="26" fillId="2" borderId="1" xfId="0" applyNumberFormat="1" applyFont="1" applyFill="1" applyBorder="1" applyAlignment="1" applyProtection="1">
      <alignment horizontal="center" vertical="center" wrapText="1"/>
      <protection hidden="1"/>
    </xf>
    <xf numFmtId="2" fontId="26" fillId="2" borderId="1" xfId="0" applyNumberFormat="1" applyFont="1" applyFill="1" applyBorder="1" applyAlignment="1" applyProtection="1">
      <alignment horizontal="center" vertical="center" wrapText="1"/>
      <protection hidden="1"/>
    </xf>
    <xf numFmtId="0" fontId="26" fillId="2" borderId="1" xfId="0" applyFont="1" applyFill="1" applyBorder="1" applyAlignment="1" applyProtection="1">
      <alignment horizontal="center" vertical="center" wrapText="1"/>
      <protection hidden="1"/>
    </xf>
    <xf numFmtId="164" fontId="26" fillId="2" borderId="1" xfId="0" applyNumberFormat="1" applyFont="1" applyFill="1" applyBorder="1" applyAlignment="1" applyProtection="1">
      <alignment horizontal="center" vertical="center"/>
      <protection hidden="1"/>
    </xf>
    <xf numFmtId="164" fontId="10" fillId="2" borderId="15" xfId="0" applyNumberFormat="1" applyFont="1" applyFill="1" applyBorder="1" applyAlignment="1" applyProtection="1">
      <alignment horizontal="center" vertical="center" wrapText="1"/>
      <protection hidden="1"/>
    </xf>
    <xf numFmtId="2" fontId="10" fillId="2" borderId="15" xfId="0" applyNumberFormat="1" applyFont="1" applyFill="1" applyBorder="1" applyAlignment="1" applyProtection="1">
      <alignment horizontal="center" vertical="center" wrapText="1"/>
      <protection hidden="1"/>
    </xf>
    <xf numFmtId="164" fontId="10" fillId="2" borderId="15" xfId="0" applyNumberFormat="1" applyFont="1" applyFill="1" applyBorder="1" applyAlignment="1" applyProtection="1">
      <alignment horizontal="center" vertical="center"/>
      <protection hidden="1"/>
    </xf>
    <xf numFmtId="0" fontId="1" fillId="10" borderId="0" xfId="0" applyFont="1" applyFill="1" applyAlignment="1">
      <alignment horizontal="center" vertical="center" wrapText="1"/>
    </xf>
    <xf numFmtId="0" fontId="24" fillId="10" borderId="8" xfId="0" applyFont="1" applyFill="1" applyBorder="1" applyAlignment="1" applyProtection="1">
      <alignment horizontal="center" vertical="center" wrapText="1"/>
      <protection hidden="1"/>
    </xf>
    <xf numFmtId="164" fontId="26" fillId="2" borderId="1" xfId="0" applyNumberFormat="1" applyFont="1" applyFill="1" applyBorder="1" applyAlignment="1" applyProtection="1">
      <alignment horizontal="center" vertical="center"/>
      <protection locked="0" hidden="1"/>
    </xf>
    <xf numFmtId="1" fontId="26" fillId="2" borderId="1" xfId="0" applyNumberFormat="1" applyFont="1" applyFill="1" applyBorder="1" applyAlignment="1" applyProtection="1">
      <alignment horizontal="center" vertical="center"/>
      <protection locked="0" hidden="1"/>
    </xf>
    <xf numFmtId="0" fontId="26" fillId="2" borderId="1" xfId="0" applyFont="1" applyFill="1" applyBorder="1" applyAlignment="1" applyProtection="1">
      <alignment horizontal="center" vertical="center"/>
      <protection locked="0" hidden="1"/>
    </xf>
    <xf numFmtId="166" fontId="26" fillId="2" borderId="1" xfId="0" applyNumberFormat="1" applyFont="1" applyFill="1" applyBorder="1" applyAlignment="1" applyProtection="1">
      <alignment horizontal="center" vertical="center"/>
      <protection locked="0" hidden="1"/>
    </xf>
    <xf numFmtId="0" fontId="16" fillId="2" borderId="10" xfId="0" applyFont="1" applyFill="1" applyBorder="1" applyAlignment="1" applyProtection="1">
      <alignment horizontal="center" vertical="center"/>
      <protection hidden="1"/>
    </xf>
    <xf numFmtId="0" fontId="16" fillId="2" borderId="12" xfId="0" applyFont="1" applyFill="1" applyBorder="1" applyAlignment="1" applyProtection="1">
      <alignment horizontal="center" vertical="center"/>
      <protection hidden="1"/>
    </xf>
    <xf numFmtId="49" fontId="15" fillId="2" borderId="10" xfId="0" applyNumberFormat="1" applyFont="1" applyFill="1" applyBorder="1" applyAlignment="1" applyProtection="1">
      <alignment horizontal="center" vertical="center"/>
      <protection locked="0" hidden="1"/>
    </xf>
    <xf numFmtId="0" fontId="24" fillId="10" borderId="8" xfId="0" applyFont="1" applyFill="1" applyBorder="1" applyAlignment="1" applyProtection="1">
      <alignment horizontal="center" vertical="center"/>
      <protection hidden="1"/>
    </xf>
    <xf numFmtId="167" fontId="26" fillId="2" borderId="1" xfId="0" applyNumberFormat="1" applyFont="1" applyFill="1" applyBorder="1" applyAlignment="1" applyProtection="1">
      <alignment horizontal="center" vertical="center"/>
      <protection locked="0" hidden="1"/>
    </xf>
    <xf numFmtId="0" fontId="29" fillId="0" borderId="0" xfId="0" applyFont="1"/>
    <xf numFmtId="0" fontId="9" fillId="5" borderId="18" xfId="0" applyFont="1" applyFill="1" applyBorder="1" applyAlignment="1">
      <alignment horizontal="center" vertical="center"/>
    </xf>
    <xf numFmtId="0" fontId="9" fillId="5" borderId="18" xfId="0" applyFont="1" applyFill="1" applyBorder="1" applyAlignment="1">
      <alignment horizontal="center" vertical="center" wrapText="1"/>
    </xf>
    <xf numFmtId="0" fontId="0" fillId="0" borderId="18" xfId="0" applyBorder="1" applyAlignment="1">
      <alignment horizontal="center"/>
    </xf>
    <xf numFmtId="0" fontId="0" fillId="2" borderId="2" xfId="0" applyFill="1" applyBorder="1" applyAlignment="1">
      <alignment horizontal="center"/>
    </xf>
    <xf numFmtId="166" fontId="0" fillId="2" borderId="2" xfId="0" applyNumberFormat="1" applyFill="1" applyBorder="1" applyAlignment="1">
      <alignment horizontal="center"/>
    </xf>
    <xf numFmtId="0" fontId="30" fillId="0" borderId="2" xfId="0" applyFont="1" applyBorder="1" applyAlignment="1">
      <alignment horizontal="center"/>
    </xf>
    <xf numFmtId="0" fontId="30" fillId="0" borderId="2" xfId="0" pivotButton="1" applyFont="1" applyBorder="1" applyAlignment="1">
      <alignment horizontal="center"/>
    </xf>
    <xf numFmtId="168" fontId="0" fillId="0" borderId="17" xfId="0" applyNumberFormat="1" applyBorder="1" applyAlignment="1">
      <alignment horizontal="center"/>
    </xf>
    <xf numFmtId="166" fontId="0" fillId="0" borderId="17" xfId="0" applyNumberFormat="1" applyBorder="1" applyAlignment="1">
      <alignment horizontal="center"/>
    </xf>
    <xf numFmtId="168" fontId="0" fillId="0" borderId="17" xfId="0" applyNumberFormat="1" applyBorder="1" applyAlignment="1">
      <alignment horizontal="center" wrapText="1"/>
    </xf>
    <xf numFmtId="164" fontId="16" fillId="0" borderId="10" xfId="0" applyNumberFormat="1" applyFont="1" applyBorder="1" applyAlignment="1" applyProtection="1">
      <alignment horizontal="center" vertical="center"/>
      <protection locked="0" hidden="1"/>
    </xf>
    <xf numFmtId="0" fontId="0" fillId="0" borderId="7" xfId="0" applyBorder="1" applyAlignment="1">
      <alignment horizontal="center" wrapText="1"/>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wrapText="1"/>
    </xf>
    <xf numFmtId="0" fontId="0" fillId="0" borderId="16" xfId="0" applyBorder="1" applyAlignment="1">
      <alignment horizontal="center" vertical="center"/>
    </xf>
    <xf numFmtId="0" fontId="0" fillId="0" borderId="18" xfId="0" applyBorder="1" applyAlignment="1">
      <alignment horizontal="center" vertical="center"/>
    </xf>
    <xf numFmtId="0" fontId="0" fillId="0" borderId="17" xfId="0" applyBorder="1" applyAlignment="1">
      <alignment horizontal="center" vertical="center" wrapText="1"/>
    </xf>
    <xf numFmtId="0" fontId="0" fillId="0" borderId="6" xfId="0" applyBorder="1" applyAlignment="1">
      <alignment horizontal="center" vertical="center"/>
    </xf>
    <xf numFmtId="0" fontId="0" fillId="0" borderId="2" xfId="0" pivotButton="1" applyBorder="1" applyAlignment="1">
      <alignment horizontal="center" vertical="center"/>
    </xf>
    <xf numFmtId="1" fontId="1" fillId="0" borderId="0" xfId="0" applyNumberFormat="1" applyFont="1" applyAlignment="1">
      <alignment horizontal="center" vertical="center" wrapText="1"/>
    </xf>
    <xf numFmtId="1" fontId="0" fillId="0" borderId="0" xfId="0" applyNumberFormat="1" applyAlignment="1">
      <alignment horizontal="center" vertical="center" wrapText="1"/>
    </xf>
    <xf numFmtId="1" fontId="33" fillId="6" borderId="8" xfId="0" applyNumberFormat="1" applyFont="1" applyFill="1" applyBorder="1" applyAlignment="1" applyProtection="1">
      <alignment horizontal="center" vertical="center" wrapText="1"/>
      <protection hidden="1"/>
    </xf>
    <xf numFmtId="0" fontId="26" fillId="2" borderId="1" xfId="0" applyFont="1" applyFill="1" applyBorder="1" applyAlignment="1" applyProtection="1">
      <alignment horizontal="center" vertical="center" wrapText="1"/>
      <protection locked="0" hidden="1"/>
    </xf>
    <xf numFmtId="0" fontId="31" fillId="11" borderId="2" xfId="0" applyFont="1" applyFill="1" applyBorder="1" applyAlignment="1">
      <alignment horizontal="center"/>
    </xf>
    <xf numFmtId="166" fontId="31" fillId="11" borderId="2" xfId="0" applyNumberFormat="1" applyFont="1" applyFill="1" applyBorder="1" applyAlignment="1">
      <alignment horizontal="center"/>
    </xf>
    <xf numFmtId="0" fontId="32" fillId="0" borderId="2" xfId="0" pivotButton="1" applyFont="1" applyBorder="1" applyAlignment="1">
      <alignment horizontal="center" vertical="center"/>
    </xf>
    <xf numFmtId="0" fontId="32" fillId="0" borderId="2" xfId="0" applyFont="1" applyBorder="1" applyAlignment="1">
      <alignment horizontal="center" vertical="center"/>
    </xf>
    <xf numFmtId="0" fontId="6" fillId="0" borderId="2" xfId="0" applyFont="1" applyBorder="1" applyAlignment="1">
      <alignment horizontal="center" vertical="center"/>
    </xf>
    <xf numFmtId="49" fontId="26" fillId="2" borderId="1" xfId="0" applyNumberFormat="1" applyFont="1" applyFill="1" applyBorder="1" applyAlignment="1" applyProtection="1">
      <alignment horizontal="center" vertical="center"/>
      <protection locked="0" hidden="1"/>
    </xf>
    <xf numFmtId="169" fontId="6" fillId="0" borderId="2" xfId="0" applyNumberFormat="1" applyFont="1" applyBorder="1" applyAlignment="1">
      <alignment horizontal="center" vertical="center"/>
    </xf>
    <xf numFmtId="169" fontId="6" fillId="2" borderId="2" xfId="0" applyNumberFormat="1" applyFont="1" applyFill="1" applyBorder="1" applyAlignment="1">
      <alignment horizontal="center" vertical="center"/>
    </xf>
    <xf numFmtId="44" fontId="35" fillId="12" borderId="19" xfId="2" applyFont="1" applyFill="1" applyBorder="1" applyAlignment="1">
      <alignment horizontal="center" vertical="center"/>
    </xf>
    <xf numFmtId="0" fontId="36" fillId="6" borderId="18" xfId="0" applyFont="1" applyFill="1" applyBorder="1" applyAlignment="1">
      <alignment horizontal="center" vertical="center"/>
    </xf>
    <xf numFmtId="0" fontId="15" fillId="2" borderId="10" xfId="0" applyFont="1" applyFill="1" applyBorder="1" applyAlignment="1" applyProtection="1">
      <alignment horizontal="center" vertical="center"/>
      <protection locked="0"/>
    </xf>
    <xf numFmtId="0" fontId="15" fillId="0" borderId="10" xfId="0" applyFont="1" applyBorder="1" applyAlignment="1" applyProtection="1">
      <alignment horizontal="center" vertical="center" wrapText="1"/>
      <protection locked="0"/>
    </xf>
    <xf numFmtId="0" fontId="15" fillId="2" borderId="12" xfId="0" applyFont="1" applyFill="1" applyBorder="1" applyAlignment="1" applyProtection="1">
      <alignment horizontal="center" vertical="center"/>
      <protection locked="0"/>
    </xf>
    <xf numFmtId="0" fontId="16" fillId="2" borderId="10" xfId="0" applyFont="1" applyFill="1" applyBorder="1" applyAlignment="1" applyProtection="1">
      <alignment horizontal="center" vertical="center"/>
      <protection locked="0"/>
    </xf>
    <xf numFmtId="0" fontId="16" fillId="2" borderId="12" xfId="0" applyFont="1" applyFill="1" applyBorder="1" applyAlignment="1" applyProtection="1">
      <alignment horizontal="center" vertical="center"/>
      <protection locked="0"/>
    </xf>
    <xf numFmtId="0" fontId="0" fillId="0" borderId="0" xfId="0" applyAlignment="1" applyProtection="1">
      <alignment horizontal="center" vertical="center" wrapText="1"/>
      <protection locked="0"/>
    </xf>
    <xf numFmtId="49" fontId="16" fillId="0" borderId="10" xfId="0" applyNumberFormat="1" applyFont="1" applyBorder="1" applyAlignment="1" applyProtection="1">
      <alignment horizontal="center" vertical="center" wrapText="1"/>
      <protection locked="0"/>
    </xf>
    <xf numFmtId="49" fontId="15" fillId="2" borderId="10" xfId="0" applyNumberFormat="1" applyFont="1" applyFill="1" applyBorder="1" applyAlignment="1" applyProtection="1">
      <alignment horizontal="center" vertical="center"/>
      <protection locked="0"/>
    </xf>
    <xf numFmtId="49" fontId="15" fillId="2" borderId="12" xfId="0" applyNumberFormat="1" applyFont="1" applyFill="1" applyBorder="1" applyAlignment="1" applyProtection="1">
      <alignment horizontal="center" vertical="center"/>
      <protection locked="0"/>
    </xf>
    <xf numFmtId="164" fontId="16" fillId="3" borderId="10" xfId="0" applyNumberFormat="1" applyFont="1" applyFill="1" applyBorder="1" applyAlignment="1" applyProtection="1">
      <alignment horizontal="center" vertical="center" wrapText="1"/>
      <protection locked="0"/>
    </xf>
    <xf numFmtId="49" fontId="27" fillId="2" borderId="10" xfId="0" applyNumberFormat="1" applyFont="1" applyFill="1" applyBorder="1" applyAlignment="1" applyProtection="1">
      <alignment horizontal="center" vertical="center"/>
      <protection locked="0"/>
    </xf>
    <xf numFmtId="49" fontId="28" fillId="0" borderId="10" xfId="0" applyNumberFormat="1" applyFont="1" applyBorder="1" applyAlignment="1" applyProtection="1">
      <alignment horizontal="center" vertical="center"/>
      <protection locked="0"/>
    </xf>
    <xf numFmtId="164" fontId="16" fillId="3" borderId="12" xfId="0" applyNumberFormat="1" applyFont="1" applyFill="1" applyBorder="1" applyAlignment="1" applyProtection="1">
      <alignment horizontal="center" vertical="center" wrapText="1"/>
      <protection locked="0"/>
    </xf>
    <xf numFmtId="0" fontId="6" fillId="0" borderId="0" xfId="0" applyFont="1" applyAlignment="1" applyProtection="1">
      <alignment horizontal="center" vertical="center"/>
      <protection locked="0"/>
    </xf>
    <xf numFmtId="0" fontId="15" fillId="2" borderId="14" xfId="0" applyFont="1" applyFill="1" applyBorder="1" applyAlignment="1" applyProtection="1">
      <alignment horizontal="center" vertical="center"/>
      <protection locked="0"/>
    </xf>
    <xf numFmtId="14" fontId="17" fillId="2" borderId="10" xfId="0" applyNumberFormat="1" applyFont="1" applyFill="1" applyBorder="1" applyAlignment="1" applyProtection="1">
      <alignment horizontal="center" vertical="center"/>
      <protection locked="0"/>
    </xf>
    <xf numFmtId="14" fontId="16" fillId="2" borderId="10" xfId="0" applyNumberFormat="1" applyFont="1" applyFill="1" applyBorder="1" applyAlignment="1" applyProtection="1">
      <alignment horizontal="center" vertical="center"/>
      <protection locked="0"/>
    </xf>
    <xf numFmtId="164" fontId="16" fillId="2" borderId="10" xfId="0" applyNumberFormat="1" applyFont="1" applyFill="1" applyBorder="1" applyAlignment="1" applyProtection="1">
      <alignment horizontal="center" vertical="center"/>
      <protection locked="0"/>
    </xf>
    <xf numFmtId="4" fontId="18" fillId="2" borderId="10" xfId="1" applyNumberFormat="1" applyFont="1" applyFill="1" applyBorder="1" applyAlignment="1" applyProtection="1">
      <alignment horizontal="center" vertical="center"/>
      <protection locked="0"/>
    </xf>
    <xf numFmtId="0" fontId="19" fillId="2" borderId="10" xfId="1" applyNumberFormat="1" applyFont="1" applyFill="1" applyBorder="1" applyAlignment="1" applyProtection="1">
      <alignment horizontal="center" vertical="center"/>
      <protection locked="0"/>
    </xf>
    <xf numFmtId="1" fontId="16" fillId="2" borderId="10" xfId="0" applyNumberFormat="1" applyFont="1" applyFill="1" applyBorder="1" applyAlignment="1" applyProtection="1">
      <alignment horizontal="center" vertical="center"/>
      <protection locked="0"/>
    </xf>
    <xf numFmtId="1" fontId="15" fillId="2" borderId="10" xfId="0" applyNumberFormat="1" applyFont="1" applyFill="1" applyBorder="1" applyAlignment="1" applyProtection="1">
      <alignment horizontal="center" vertical="center" wrapText="1"/>
      <protection locked="0"/>
    </xf>
    <xf numFmtId="0" fontId="16" fillId="0" borderId="10" xfId="0" applyFont="1" applyBorder="1" applyAlignment="1" applyProtection="1">
      <alignment horizontal="center"/>
      <protection locked="0"/>
    </xf>
    <xf numFmtId="49" fontId="20" fillId="2" borderId="10" xfId="0" applyNumberFormat="1" applyFont="1" applyFill="1" applyBorder="1" applyAlignment="1" applyProtection="1">
      <alignment horizontal="center" vertical="center"/>
      <protection locked="0"/>
    </xf>
    <xf numFmtId="164" fontId="16" fillId="2" borderId="10" xfId="0" applyNumberFormat="1" applyFont="1" applyFill="1" applyBorder="1" applyAlignment="1" applyProtection="1">
      <alignment horizontal="center" vertical="center" wrapText="1"/>
      <protection locked="0"/>
    </xf>
    <xf numFmtId="2" fontId="16" fillId="2" borderId="10" xfId="0" applyNumberFormat="1" applyFont="1" applyFill="1" applyBorder="1" applyAlignment="1" applyProtection="1">
      <alignment horizontal="center" vertical="center"/>
      <protection locked="0"/>
    </xf>
    <xf numFmtId="49" fontId="15" fillId="6" borderId="10" xfId="0" applyNumberFormat="1" applyFont="1" applyFill="1" applyBorder="1" applyAlignment="1" applyProtection="1">
      <alignment horizontal="center" vertical="center"/>
      <protection locked="0"/>
    </xf>
    <xf numFmtId="0" fontId="16" fillId="2" borderId="10" xfId="0" applyFont="1" applyFill="1" applyBorder="1" applyAlignment="1" applyProtection="1">
      <alignment horizontal="center" vertical="center" wrapText="1"/>
      <protection locked="0"/>
    </xf>
    <xf numFmtId="0" fontId="21" fillId="9" borderId="10" xfId="0" applyFont="1" applyFill="1" applyBorder="1" applyAlignment="1" applyProtection="1">
      <alignment horizontal="center" vertical="center" wrapText="1"/>
      <protection locked="0"/>
    </xf>
    <xf numFmtId="0" fontId="15" fillId="2" borderId="10" xfId="0" applyFont="1" applyFill="1" applyBorder="1" applyAlignment="1" applyProtection="1">
      <alignment horizontal="center" vertical="center" wrapText="1"/>
      <protection locked="0"/>
    </xf>
    <xf numFmtId="0" fontId="16" fillId="2" borderId="11" xfId="0" applyFont="1" applyFill="1" applyBorder="1" applyAlignment="1" applyProtection="1">
      <alignment horizontal="center" vertical="center"/>
      <protection locked="0"/>
    </xf>
    <xf numFmtId="0" fontId="16" fillId="2" borderId="0" xfId="0" applyFont="1" applyFill="1" applyAlignment="1" applyProtection="1">
      <alignment horizontal="center" vertical="center"/>
      <protection locked="0"/>
    </xf>
    <xf numFmtId="1" fontId="16" fillId="2" borderId="10" xfId="0" applyNumberFormat="1" applyFont="1" applyFill="1" applyBorder="1" applyAlignment="1" applyProtection="1">
      <alignment horizontal="center" vertical="center" wrapText="1"/>
      <protection locked="0"/>
    </xf>
    <xf numFmtId="0" fontId="16" fillId="0" borderId="10" xfId="0" applyFont="1" applyBorder="1" applyAlignment="1" applyProtection="1">
      <alignment horizontal="center" vertical="center"/>
      <protection locked="0"/>
    </xf>
    <xf numFmtId="1" fontId="18" fillId="2" borderId="10" xfId="1" applyNumberFormat="1" applyFont="1" applyFill="1" applyBorder="1" applyAlignment="1" applyProtection="1">
      <alignment horizontal="center" vertical="center"/>
      <protection locked="0"/>
    </xf>
    <xf numFmtId="164" fontId="26" fillId="2" borderId="1" xfId="0" applyNumberFormat="1" applyFont="1" applyFill="1" applyBorder="1" applyAlignment="1" applyProtection="1">
      <alignment horizontal="center" vertical="center"/>
      <protection locked="0"/>
    </xf>
    <xf numFmtId="164" fontId="16" fillId="6" borderId="10" xfId="0" applyNumberFormat="1" applyFont="1" applyFill="1" applyBorder="1" applyAlignment="1" applyProtection="1">
      <alignment horizontal="center" vertical="center" wrapText="1"/>
      <protection locked="0"/>
    </xf>
    <xf numFmtId="14" fontId="16" fillId="2" borderId="12" xfId="0" applyNumberFormat="1" applyFont="1" applyFill="1" applyBorder="1" applyAlignment="1" applyProtection="1">
      <alignment horizontal="center" vertical="center"/>
      <protection locked="0"/>
    </xf>
    <xf numFmtId="164" fontId="16" fillId="2" borderId="12" xfId="0" applyNumberFormat="1" applyFont="1" applyFill="1" applyBorder="1" applyAlignment="1" applyProtection="1">
      <alignment horizontal="center" vertical="center"/>
      <protection locked="0"/>
    </xf>
    <xf numFmtId="0" fontId="19" fillId="2" borderId="12" xfId="1" applyNumberFormat="1" applyFont="1" applyFill="1" applyBorder="1" applyAlignment="1" applyProtection="1">
      <alignment horizontal="center" vertical="center"/>
      <protection locked="0"/>
    </xf>
    <xf numFmtId="1" fontId="18" fillId="2" borderId="12" xfId="1" applyNumberFormat="1" applyFont="1" applyFill="1" applyBorder="1" applyAlignment="1" applyProtection="1">
      <alignment horizontal="center" vertical="center"/>
      <protection locked="0"/>
    </xf>
    <xf numFmtId="164" fontId="16" fillId="2" borderId="12" xfId="0" applyNumberFormat="1" applyFont="1" applyFill="1" applyBorder="1" applyAlignment="1" applyProtection="1">
      <alignment horizontal="center" vertical="center" wrapText="1"/>
      <protection locked="0"/>
    </xf>
    <xf numFmtId="49" fontId="15" fillId="6" borderId="12" xfId="0" applyNumberFormat="1" applyFont="1" applyFill="1" applyBorder="1" applyAlignment="1" applyProtection="1">
      <alignment horizontal="center" vertical="center"/>
      <protection locked="0"/>
    </xf>
    <xf numFmtId="2" fontId="16" fillId="2" borderId="12" xfId="0" applyNumberFormat="1" applyFont="1" applyFill="1" applyBorder="1" applyAlignment="1" applyProtection="1">
      <alignment horizontal="center" vertical="center"/>
      <protection locked="0"/>
    </xf>
    <xf numFmtId="0" fontId="16" fillId="2" borderId="12" xfId="0" applyFont="1" applyFill="1" applyBorder="1" applyAlignment="1" applyProtection="1">
      <alignment horizontal="center" vertical="center" wrapText="1"/>
      <protection locked="0"/>
    </xf>
    <xf numFmtId="0" fontId="16" fillId="0" borderId="10" xfId="0" applyFont="1" applyBorder="1" applyAlignment="1" applyProtection="1">
      <alignment horizontal="center" vertical="center" wrapText="1"/>
      <protection locked="0"/>
    </xf>
    <xf numFmtId="0" fontId="22" fillId="2" borderId="10" xfId="1" applyNumberFormat="1" applyFont="1" applyFill="1" applyBorder="1" applyAlignment="1" applyProtection="1">
      <alignment horizontal="center" vertical="center" wrapText="1"/>
      <protection locked="0"/>
    </xf>
    <xf numFmtId="0" fontId="15" fillId="6" borderId="10" xfId="0" applyFont="1" applyFill="1" applyBorder="1" applyAlignment="1" applyProtection="1">
      <alignment horizontal="center" vertical="center"/>
      <protection locked="0"/>
    </xf>
    <xf numFmtId="0" fontId="16" fillId="6" borderId="10" xfId="0" applyFont="1" applyFill="1" applyBorder="1" applyAlignment="1" applyProtection="1">
      <alignment horizontal="center" vertical="center"/>
      <protection locked="0"/>
    </xf>
    <xf numFmtId="1" fontId="18" fillId="2" borderId="10" xfId="1" applyNumberFormat="1" applyFont="1" applyFill="1" applyBorder="1" applyAlignment="1" applyProtection="1">
      <alignment horizontal="center" vertical="center" wrapText="1"/>
      <protection locked="0"/>
    </xf>
    <xf numFmtId="4" fontId="16" fillId="2" borderId="10" xfId="0" applyNumberFormat="1" applyFont="1" applyFill="1" applyBorder="1" applyAlignment="1" applyProtection="1">
      <alignment horizontal="center" vertical="center"/>
      <protection locked="0"/>
    </xf>
    <xf numFmtId="1" fontId="18" fillId="2" borderId="12" xfId="1" applyNumberFormat="1" applyFont="1" applyFill="1" applyBorder="1" applyAlignment="1" applyProtection="1">
      <alignment horizontal="center" vertical="center" wrapText="1"/>
      <protection locked="0"/>
    </xf>
    <xf numFmtId="0" fontId="16" fillId="0" borderId="12" xfId="0" applyFont="1" applyBorder="1" applyAlignment="1" applyProtection="1">
      <alignment horizontal="center" vertical="center"/>
      <protection locked="0"/>
    </xf>
    <xf numFmtId="4" fontId="16" fillId="2" borderId="12" xfId="0" applyNumberFormat="1" applyFont="1" applyFill="1" applyBorder="1" applyAlignment="1" applyProtection="1">
      <alignment horizontal="center" vertical="center"/>
      <protection locked="0"/>
    </xf>
    <xf numFmtId="49" fontId="20" fillId="2" borderId="12" xfId="0" applyNumberFormat="1" applyFont="1" applyFill="1" applyBorder="1" applyAlignment="1" applyProtection="1">
      <alignment horizontal="center" vertical="center"/>
      <protection locked="0"/>
    </xf>
    <xf numFmtId="0" fontId="16" fillId="2" borderId="13" xfId="0" applyFont="1" applyFill="1" applyBorder="1" applyAlignment="1" applyProtection="1">
      <alignment horizontal="center" vertical="center"/>
      <protection locked="0"/>
    </xf>
    <xf numFmtId="4" fontId="18" fillId="2" borderId="10" xfId="1" applyNumberFormat="1" applyFont="1" applyFill="1" applyBorder="1" applyAlignment="1" applyProtection="1">
      <alignment horizontal="center" vertical="center"/>
      <protection hidden="1"/>
    </xf>
    <xf numFmtId="1" fontId="16" fillId="13" borderId="10" xfId="0" applyNumberFormat="1" applyFont="1" applyFill="1" applyBorder="1" applyAlignment="1" applyProtection="1">
      <alignment horizontal="center" vertical="center"/>
      <protection locked="0"/>
    </xf>
    <xf numFmtId="0" fontId="16" fillId="6" borderId="12" xfId="0" applyFont="1" applyFill="1" applyBorder="1" applyAlignment="1" applyProtection="1">
      <alignment horizontal="center" vertical="center"/>
      <protection locked="0"/>
    </xf>
    <xf numFmtId="164" fontId="16" fillId="6" borderId="12" xfId="0" applyNumberFormat="1" applyFont="1" applyFill="1" applyBorder="1" applyAlignment="1" applyProtection="1">
      <alignment horizontal="center" vertical="center"/>
      <protection hidden="1"/>
    </xf>
    <xf numFmtId="0" fontId="19" fillId="6" borderId="12" xfId="1" applyNumberFormat="1" applyFont="1" applyFill="1" applyBorder="1" applyAlignment="1" applyProtection="1">
      <alignment horizontal="center" vertical="center"/>
      <protection locked="0"/>
    </xf>
    <xf numFmtId="2" fontId="16" fillId="6" borderId="12" xfId="0" applyNumberFormat="1" applyFont="1" applyFill="1" applyBorder="1" applyAlignment="1" applyProtection="1">
      <alignment horizontal="center" vertical="center"/>
      <protection locked="0"/>
    </xf>
    <xf numFmtId="0" fontId="16" fillId="6" borderId="11" xfId="0" applyFont="1" applyFill="1" applyBorder="1" applyAlignment="1" applyProtection="1">
      <alignment horizontal="center" vertical="center"/>
      <protection locked="0"/>
    </xf>
    <xf numFmtId="0" fontId="16" fillId="6" borderId="0" xfId="0" applyFont="1" applyFill="1" applyAlignment="1" applyProtection="1">
      <alignment horizontal="center" vertical="center"/>
      <protection locked="0"/>
    </xf>
    <xf numFmtId="0" fontId="1" fillId="6" borderId="0" xfId="0" applyFont="1" applyFill="1" applyAlignment="1">
      <alignment horizontal="center" vertical="center"/>
    </xf>
    <xf numFmtId="164" fontId="16" fillId="10" borderId="13" xfId="0" applyNumberFormat="1" applyFont="1" applyFill="1" applyBorder="1" applyAlignment="1" applyProtection="1">
      <alignment horizontal="center" vertical="center" wrapText="1"/>
      <protection locked="0"/>
    </xf>
    <xf numFmtId="0" fontId="1" fillId="2" borderId="0" xfId="0" applyFont="1" applyFill="1" applyAlignment="1">
      <alignment horizontal="center" vertical="center"/>
    </xf>
    <xf numFmtId="49" fontId="16" fillId="2" borderId="10" xfId="0" applyNumberFormat="1" applyFont="1" applyFill="1" applyBorder="1" applyAlignment="1" applyProtection="1">
      <alignment horizontal="center" vertical="center" wrapText="1"/>
      <protection locked="0"/>
    </xf>
    <xf numFmtId="0" fontId="16" fillId="2" borderId="10" xfId="0" applyFont="1" applyFill="1" applyBorder="1" applyAlignment="1" applyProtection="1">
      <alignment horizontal="center"/>
      <protection locked="0"/>
    </xf>
    <xf numFmtId="49" fontId="15" fillId="2" borderId="10" xfId="0" applyNumberFormat="1" applyFont="1" applyFill="1" applyBorder="1" applyAlignment="1">
      <alignment horizontal="center" vertical="center"/>
    </xf>
    <xf numFmtId="1" fontId="37" fillId="2" borderId="10" xfId="0" applyNumberFormat="1" applyFont="1" applyFill="1" applyBorder="1" applyAlignment="1" applyProtection="1">
      <alignment horizontal="center" vertical="center" wrapText="1"/>
      <protection locked="0"/>
    </xf>
    <xf numFmtId="164" fontId="16" fillId="10" borderId="20" xfId="0" applyNumberFormat="1" applyFont="1" applyFill="1" applyBorder="1" applyAlignment="1" applyProtection="1">
      <alignment horizontal="center" vertical="center" wrapText="1"/>
      <protection locked="0"/>
    </xf>
    <xf numFmtId="0" fontId="16" fillId="2" borderId="21" xfId="0" applyFont="1" applyFill="1" applyBorder="1" applyAlignment="1" applyProtection="1">
      <alignment horizontal="center" vertical="center"/>
      <protection locked="0"/>
    </xf>
    <xf numFmtId="0" fontId="16" fillId="2" borderId="22" xfId="0" applyFont="1" applyFill="1" applyBorder="1" applyAlignment="1" applyProtection="1">
      <alignment horizontal="center" vertical="center"/>
      <protection locked="0"/>
    </xf>
    <xf numFmtId="0" fontId="16" fillId="2" borderId="20" xfId="0" applyFont="1" applyFill="1" applyBorder="1" applyAlignment="1" applyProtection="1">
      <alignment horizontal="center" vertical="center"/>
      <protection locked="0"/>
    </xf>
    <xf numFmtId="0" fontId="0" fillId="2" borderId="10" xfId="0" applyFill="1" applyBorder="1" applyAlignment="1" applyProtection="1">
      <alignment horizontal="center" vertical="center"/>
      <protection locked="0"/>
    </xf>
    <xf numFmtId="0" fontId="3" fillId="2" borderId="10" xfId="0" applyFont="1" applyFill="1" applyBorder="1" applyAlignment="1" applyProtection="1">
      <alignment horizontal="center" vertical="center"/>
      <protection locked="0" hidden="1"/>
    </xf>
    <xf numFmtId="0" fontId="11" fillId="0" borderId="10" xfId="0" applyFont="1" applyBorder="1" applyAlignment="1">
      <alignment horizontal="center" vertical="center"/>
    </xf>
    <xf numFmtId="0" fontId="1" fillId="0" borderId="10" xfId="0" applyFont="1" applyBorder="1" applyAlignment="1">
      <alignment horizontal="center" vertical="center"/>
    </xf>
    <xf numFmtId="0" fontId="0" fillId="0" borderId="10" xfId="0" applyBorder="1" applyAlignment="1">
      <alignment horizontal="center" vertical="center"/>
    </xf>
    <xf numFmtId="0" fontId="0" fillId="10" borderId="10" xfId="0" applyFill="1" applyBorder="1" applyAlignment="1" applyProtection="1">
      <alignment horizontal="center" vertical="center" wrapText="1"/>
      <protection locked="0"/>
    </xf>
    <xf numFmtId="0" fontId="6"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wrapText="1"/>
      <protection locked="0"/>
    </xf>
    <xf numFmtId="0" fontId="0" fillId="0" borderId="10" xfId="0" applyBorder="1" applyAlignment="1">
      <alignment horizontal="center" vertical="center" wrapText="1"/>
    </xf>
    <xf numFmtId="1" fontId="0" fillId="0" borderId="10" xfId="0" applyNumberFormat="1" applyBorder="1" applyAlignment="1">
      <alignment horizontal="center" vertical="center"/>
    </xf>
    <xf numFmtId="1" fontId="0" fillId="0" borderId="10" xfId="0" applyNumberFormat="1" applyBorder="1" applyAlignment="1">
      <alignment horizontal="center" vertical="center" wrapText="1"/>
    </xf>
    <xf numFmtId="0" fontId="0" fillId="0" borderId="10" xfId="0" applyBorder="1"/>
    <xf numFmtId="49" fontId="15" fillId="2" borderId="11" xfId="0" applyNumberFormat="1" applyFont="1" applyFill="1" applyBorder="1" applyAlignment="1">
      <alignment horizontal="center" vertical="center"/>
    </xf>
    <xf numFmtId="0" fontId="6" fillId="2" borderId="2" xfId="0" applyFont="1" applyFill="1" applyBorder="1" applyAlignment="1">
      <alignment horizontal="center"/>
    </xf>
    <xf numFmtId="0" fontId="32" fillId="0" borderId="2" xfId="0" applyFont="1" applyBorder="1" applyAlignment="1">
      <alignment horizontal="center"/>
    </xf>
    <xf numFmtId="0" fontId="31" fillId="0" borderId="2" xfId="0" applyFont="1" applyBorder="1" applyAlignment="1">
      <alignment horizontal="center"/>
    </xf>
    <xf numFmtId="0" fontId="6" fillId="2" borderId="2" xfId="0" applyFont="1" applyFill="1" applyBorder="1" applyAlignment="1">
      <alignment horizontal="center" vertical="center"/>
    </xf>
    <xf numFmtId="0" fontId="38" fillId="8" borderId="0" xfId="0" applyFont="1" applyFill="1" applyAlignment="1" applyProtection="1">
      <alignment horizontal="center" vertical="center"/>
      <protection hidden="1"/>
    </xf>
    <xf numFmtId="0" fontId="8" fillId="4" borderId="0" xfId="0" applyFont="1" applyFill="1" applyAlignment="1">
      <alignment horizontal="center" vertical="center" wrapText="1"/>
    </xf>
    <xf numFmtId="0" fontId="8" fillId="4" borderId="0" xfId="0" applyFont="1" applyFill="1" applyAlignment="1">
      <alignment horizontal="center" vertical="center"/>
    </xf>
    <xf numFmtId="0" fontId="6" fillId="0" borderId="0" xfId="0" applyFont="1" applyAlignment="1">
      <alignment horizontal="center" vertical="center"/>
    </xf>
  </cellXfs>
  <cellStyles count="3">
    <cellStyle name="Currency" xfId="2" builtinId="4"/>
    <cellStyle name="Hyperlink" xfId="1" builtinId="8"/>
    <cellStyle name="Normal" xfId="0" builtinId="0"/>
  </cellStyles>
  <dxfs count="462">
    <dxf>
      <font>
        <b/>
        <i val="0"/>
        <color rgb="FF00B050"/>
      </font>
      <fill>
        <patternFill>
          <bgColor theme="0"/>
        </patternFill>
      </fill>
    </dxf>
    <dxf>
      <font>
        <color theme="1"/>
      </font>
      <fill>
        <patternFill>
          <bgColor theme="2" tint="-0.24994659260841701"/>
        </patternFill>
      </fill>
    </dxf>
    <dxf>
      <fill>
        <patternFill>
          <bgColor theme="9" tint="0.39994506668294322"/>
        </patternFill>
      </fill>
    </dxf>
    <dxf>
      <fill>
        <patternFill>
          <bgColor theme="6" tint="0.39994506668294322"/>
        </patternFill>
      </fill>
    </dxf>
    <dxf>
      <fill>
        <patternFill>
          <bgColor theme="0" tint="-0.24994659260841701"/>
        </patternFill>
      </fill>
    </dxf>
    <dxf>
      <font>
        <b/>
        <i val="0"/>
      </font>
      <fill>
        <patternFill patternType="darkDown">
          <fgColor rgb="FF6EA92D"/>
          <bgColor rgb="FF92D050"/>
        </patternFill>
      </fill>
    </dxf>
    <dxf>
      <numFmt numFmtId="0" formatCode="General"/>
    </dxf>
    <dxf>
      <extLst>
        <ext xmlns:xfpb="http://schemas.microsoft.com/office/spreadsheetml/2022/featurepropertybag" uri="{0417FA29-78FA-4A13-93AC-8FF0FAFDF519}">
          <xfpb:DXFComplement i="0"/>
        </ext>
      </extLst>
    </dxf>
    <dxf>
      <numFmt numFmtId="0" formatCode="General"/>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val="0"/>
        <i val="0"/>
        <strike val="0"/>
        <condense val="0"/>
        <extend val="0"/>
        <outline val="0"/>
        <shadow val="0"/>
        <u val="none"/>
        <vertAlign val="baseline"/>
        <sz val="12"/>
        <color rgb="FF000000"/>
        <name val="Calibri"/>
        <family val="2"/>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scheme val="none"/>
      </font>
      <numFmt numFmtId="166" formatCode="[$AED]\ #,##0"/>
      <fill>
        <patternFill patternType="none">
          <fgColor indexed="64"/>
          <bgColor indexed="65"/>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none"/>
      </font>
      <numFmt numFmtId="166" formatCode="[$AED]\ #,##0"/>
      <fill>
        <patternFill patternType="none">
          <fgColor indexed="64"/>
          <bgColor indexed="65"/>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scheme val="none"/>
      </font>
      <numFmt numFmtId="19" formatCode="m/d/yyyy"/>
      <fill>
        <patternFill patternType="none">
          <fgColor indexed="64"/>
          <bgColor indexed="65"/>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border outline="0">
        <left style="thin">
          <color indexed="64"/>
        </left>
        <right style="thin">
          <color indexed="64"/>
        </right>
        <top style="thin">
          <color indexed="64"/>
        </top>
        <bottom style="thin">
          <color auto="1"/>
        </bottom>
      </border>
    </dxf>
    <dxf>
      <font>
        <b val="0"/>
        <i val="0"/>
        <strike val="0"/>
        <condense val="0"/>
        <extend val="0"/>
        <outline val="0"/>
        <shadow val="0"/>
        <u val="none"/>
        <vertAlign val="baseline"/>
        <sz val="12"/>
        <color rgb="FF000000"/>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auto="1"/>
        </bottom>
      </border>
    </dxf>
    <dxf>
      <font>
        <b val="0"/>
        <i val="0"/>
        <strike val="0"/>
        <condense val="0"/>
        <extend val="0"/>
        <outline val="0"/>
        <shadow val="0"/>
        <u val="none"/>
        <vertAlign val="baseline"/>
        <sz val="12"/>
        <color rgb="FF000000"/>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Arial Black"/>
        <family val="2"/>
        <scheme val="none"/>
      </font>
      <protection locked="0" hidden="1"/>
    </dxf>
    <dxf>
      <font>
        <b val="0"/>
        <i val="0"/>
        <strike val="0"/>
        <condense val="0"/>
        <extend val="0"/>
        <outline val="0"/>
        <shadow val="0"/>
        <u val="none"/>
        <vertAlign val="baseline"/>
        <sz val="10"/>
        <color theme="1"/>
        <name val="Arial Black"/>
        <family val="2"/>
        <scheme val="none"/>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5" tint="0.39997558519241921"/>
        </left>
        <right style="thin">
          <color theme="5" tint="0.39997558519241921"/>
        </right>
        <top style="thin">
          <color theme="5" tint="0.39997558519241921"/>
        </top>
        <bottom style="thin">
          <color theme="5" tint="0.39997558519241921"/>
        </bottom>
        <vertical/>
        <horizontal/>
      </border>
      <protection locked="0" hidden="1"/>
    </dxf>
    <dxf>
      <font>
        <b val="0"/>
        <i val="0"/>
        <strike val="0"/>
        <condense val="0"/>
        <extend val="0"/>
        <outline val="0"/>
        <shadow val="0"/>
        <u val="none"/>
        <vertAlign val="baseline"/>
        <sz val="11"/>
        <color theme="1"/>
        <name val="Arial Black"/>
        <family val="2"/>
        <scheme val="none"/>
      </font>
      <protection locked="0" hidden="1"/>
    </dxf>
    <dxf>
      <font>
        <b val="0"/>
        <i val="0"/>
        <strike val="0"/>
        <condense val="0"/>
        <extend val="0"/>
        <outline val="0"/>
        <shadow val="0"/>
        <u val="none"/>
        <vertAlign val="baseline"/>
        <sz val="11"/>
        <color theme="1"/>
        <name val="Arial Black"/>
        <family val="2"/>
        <scheme val="none"/>
      </font>
      <protection locked="0" hidden="1"/>
    </dxf>
    <dxf>
      <font>
        <b val="0"/>
        <i val="0"/>
        <strike val="0"/>
        <condense val="0"/>
        <extend val="0"/>
        <outline val="0"/>
        <shadow val="0"/>
        <u val="none"/>
        <vertAlign val="baseline"/>
        <sz val="11"/>
        <color theme="1"/>
        <name val="Arial Black"/>
        <family val="2"/>
        <scheme val="none"/>
      </font>
      <protection locked="0" hidden="1"/>
    </dxf>
    <dxf>
      <font>
        <b val="0"/>
        <i val="0"/>
        <strike val="0"/>
        <condense val="0"/>
        <extend val="0"/>
        <outline val="0"/>
        <shadow val="0"/>
        <u val="none"/>
        <vertAlign val="baseline"/>
        <sz val="11"/>
        <color theme="1"/>
        <name val="Arial Black"/>
        <family val="2"/>
        <scheme val="none"/>
      </font>
      <protection locked="0" hidden="1"/>
    </dxf>
    <dxf>
      <font>
        <b val="0"/>
        <i val="0"/>
        <strike val="0"/>
        <condense val="0"/>
        <extend val="0"/>
        <outline val="0"/>
        <shadow val="0"/>
        <u val="none"/>
        <vertAlign val="baseline"/>
        <sz val="11"/>
        <color theme="1"/>
        <name val="Arial Black"/>
        <family val="2"/>
        <scheme val="none"/>
      </font>
      <protection locked="0" hidden="1"/>
    </dxf>
    <dxf>
      <font>
        <b val="0"/>
        <i val="0"/>
        <strike val="0"/>
        <condense val="0"/>
        <extend val="0"/>
        <outline val="0"/>
        <shadow val="0"/>
        <u val="none"/>
        <vertAlign val="baseline"/>
        <sz val="11"/>
        <color theme="1"/>
        <name val="Arial Black"/>
        <family val="2"/>
        <scheme val="none"/>
      </font>
      <protection locked="0" hidden="1"/>
    </dxf>
    <dxf>
      <font>
        <b val="0"/>
        <i val="0"/>
        <strike val="0"/>
        <condense val="0"/>
        <extend val="0"/>
        <outline val="0"/>
        <shadow val="0"/>
        <u val="none"/>
        <vertAlign val="baseline"/>
        <sz val="11"/>
        <color theme="1"/>
        <name val="Arial Black"/>
        <family val="2"/>
        <scheme val="none"/>
      </font>
      <protection locked="0" hidden="1"/>
    </dxf>
    <dxf>
      <font>
        <b val="0"/>
        <i val="0"/>
        <strike val="0"/>
        <condense val="0"/>
        <extend val="0"/>
        <outline val="0"/>
        <shadow val="0"/>
        <u val="none"/>
        <vertAlign val="baseline"/>
        <sz val="11"/>
        <color theme="1"/>
        <name val="Arial Black"/>
        <family val="2"/>
        <scheme val="none"/>
      </font>
    </dxf>
    <dxf>
      <font>
        <b val="0"/>
        <i val="0"/>
        <strike val="0"/>
        <condense val="0"/>
        <extend val="0"/>
        <outline val="0"/>
        <shadow val="0"/>
        <u val="none"/>
        <vertAlign val="baseline"/>
        <sz val="11"/>
        <color theme="1"/>
        <name val="Arial Black"/>
        <family val="2"/>
        <scheme val="none"/>
      </font>
      <protection locked="0" hidden="1"/>
    </dxf>
    <dxf>
      <font>
        <b/>
        <i val="0"/>
        <strike val="0"/>
        <condense val="0"/>
        <extend val="0"/>
        <outline val="0"/>
        <shadow val="0"/>
        <u val="none"/>
        <vertAlign val="baseline"/>
        <sz val="11"/>
        <color theme="0"/>
        <name val="Arial Black"/>
        <family val="2"/>
        <scheme val="none"/>
      </font>
      <fill>
        <patternFill patternType="solid">
          <fgColor indexed="64"/>
          <bgColor theme="6" tint="-0.499984740745262"/>
        </patternFill>
      </fill>
      <alignment horizontal="center" vertical="center" textRotation="0" wrapText="1"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Arial Black"/>
        <family val="2"/>
        <scheme val="none"/>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5" tint="0.39997558519241921"/>
        </left>
        <right style="thin">
          <color theme="5" tint="0.39997558519241921"/>
        </right>
        <top style="thin">
          <color theme="5" tint="0.39997558519241921"/>
        </top>
        <bottom style="thin">
          <color theme="5" tint="0.39997558519241921"/>
        </bottom>
      </border>
      <protection locked="1" hidden="1"/>
    </dxf>
    <dxf>
      <font>
        <b/>
        <i val="0"/>
        <strike val="0"/>
        <condense val="0"/>
        <extend val="0"/>
        <outline val="0"/>
        <shadow val="0"/>
        <u val="none"/>
        <vertAlign val="baseline"/>
        <sz val="11"/>
        <color theme="1"/>
        <name val="Arial Black"/>
        <family val="2"/>
        <scheme val="none"/>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5" tint="0.39997558519241921"/>
        </left>
        <right style="thin">
          <color theme="5" tint="0.39997558519241921"/>
        </right>
        <top style="thin">
          <color theme="5" tint="0.39997558519241921"/>
        </top>
        <bottom style="thin">
          <color theme="5" tint="0.39997558519241921"/>
        </bottom>
      </border>
      <protection locked="1" hidden="1"/>
    </dxf>
    <dxf>
      <font>
        <b/>
        <i val="0"/>
        <strike val="0"/>
        <condense val="0"/>
        <extend val="0"/>
        <outline val="0"/>
        <shadow val="0"/>
        <u val="none"/>
        <vertAlign val="baseline"/>
        <sz val="11"/>
        <color theme="1"/>
        <name val="Arial Black"/>
        <family val="2"/>
        <scheme val="none"/>
      </font>
      <numFmt numFmtId="0" formatCode="General"/>
      <fill>
        <patternFill patternType="solid">
          <fgColor indexed="64"/>
          <bgColor theme="0" tint="-4.9989318521683403E-2"/>
        </patternFill>
      </fill>
      <alignment horizontal="center" vertical="center" textRotation="0" wrapText="1" indent="0" justifyLastLine="0" shrinkToFit="0" readingOrder="0"/>
      <border diagonalUp="0" diagonalDown="0">
        <left style="thin">
          <color theme="5" tint="0.39997558519241921"/>
        </left>
        <right style="thin">
          <color theme="5" tint="0.39997558519241921"/>
        </right>
        <top style="thin">
          <color theme="5" tint="0.39997558519241921"/>
        </top>
        <bottom style="thin">
          <color theme="5" tint="0.39997558519241921"/>
        </bottom>
      </border>
      <protection locked="1" hidden="1"/>
    </dxf>
    <dxf>
      <font>
        <b/>
        <i val="0"/>
        <strike val="0"/>
        <condense val="0"/>
        <extend val="0"/>
        <outline val="0"/>
        <shadow val="0"/>
        <u val="none"/>
        <vertAlign val="baseline"/>
        <sz val="11"/>
        <color theme="1"/>
        <name val="Arial Black"/>
        <family val="2"/>
        <scheme val="none"/>
      </font>
      <numFmt numFmtId="164" formatCode="d\-mmm\-yyyy"/>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5" tint="0.39997558519241921"/>
        </left>
        <right style="thin">
          <color theme="5" tint="0.39997558519241921"/>
        </right>
        <top style="thin">
          <color theme="5" tint="0.39997558519241921"/>
        </top>
        <bottom style="thin">
          <color theme="5" tint="0.39997558519241921"/>
        </bottom>
      </border>
      <protection locked="1" hidden="1"/>
    </dxf>
    <dxf>
      <font>
        <b/>
        <i val="0"/>
        <strike val="0"/>
        <condense val="0"/>
        <extend val="0"/>
        <outline val="0"/>
        <shadow val="0"/>
        <u val="none"/>
        <vertAlign val="baseline"/>
        <sz val="11"/>
        <color theme="1"/>
        <name val="Arial Black"/>
        <family val="2"/>
        <scheme val="none"/>
      </font>
      <numFmt numFmtId="164" formatCode="d\-mmm\-yyyy"/>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5" tint="0.39997558519241921"/>
        </left>
        <right style="thin">
          <color theme="5" tint="0.39997558519241921"/>
        </right>
        <top style="thin">
          <color theme="5" tint="0.39997558519241921"/>
        </top>
        <bottom style="thin">
          <color theme="5" tint="0.39997558519241921"/>
        </bottom>
      </border>
      <protection locked="1" hidden="1"/>
    </dxf>
    <dxf>
      <font>
        <b/>
        <i val="0"/>
        <strike val="0"/>
        <condense val="0"/>
        <extend val="0"/>
        <outline val="0"/>
        <shadow val="0"/>
        <u val="none"/>
        <vertAlign val="baseline"/>
        <sz val="11"/>
        <color theme="1"/>
        <name val="Arial Black"/>
        <family val="2"/>
        <scheme val="none"/>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5" tint="0.39997558519241921"/>
        </left>
        <right style="thin">
          <color theme="5" tint="0.39997558519241921"/>
        </right>
        <top style="thin">
          <color theme="5" tint="0.39997558519241921"/>
        </top>
        <bottom style="thin">
          <color theme="5" tint="0.39997558519241921"/>
        </bottom>
      </border>
      <protection locked="1" hidden="1"/>
    </dxf>
    <dxf>
      <font>
        <b/>
        <i val="0"/>
        <strike val="0"/>
        <condense val="0"/>
        <extend val="0"/>
        <outline val="0"/>
        <shadow val="0"/>
        <u val="none"/>
        <vertAlign val="baseline"/>
        <sz val="11"/>
        <color theme="1"/>
        <name val="Arial Black"/>
        <family val="2"/>
        <scheme val="none"/>
      </font>
      <numFmt numFmtId="2" formatCode="0.00"/>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5" tint="0.39997558519241921"/>
        </left>
        <right style="thin">
          <color theme="5" tint="0.39997558519241921"/>
        </right>
        <top style="thin">
          <color theme="5" tint="0.39997558519241921"/>
        </top>
        <bottom style="thin">
          <color theme="5" tint="0.39997558519241921"/>
        </bottom>
      </border>
      <protection locked="1" hidden="1"/>
    </dxf>
    <dxf>
      <font>
        <b/>
        <i val="0"/>
        <strike val="0"/>
        <condense val="0"/>
        <extend val="0"/>
        <outline val="0"/>
        <shadow val="0"/>
        <u val="none"/>
        <vertAlign val="baseline"/>
        <sz val="11"/>
        <color theme="1"/>
        <name val="Arial Black"/>
        <family val="2"/>
        <scheme val="none"/>
      </font>
      <numFmt numFmtId="2" formatCode="0.00"/>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5" tint="0.39997558519241921"/>
        </left>
        <right style="thin">
          <color theme="5" tint="0.39997558519241921"/>
        </right>
        <top style="thin">
          <color theme="5" tint="0.39997558519241921"/>
        </top>
        <bottom style="thin">
          <color theme="5" tint="0.39997558519241921"/>
        </bottom>
      </border>
      <protection locked="1" hidden="1"/>
    </dxf>
    <dxf>
      <font>
        <b/>
        <i val="0"/>
        <strike val="0"/>
        <condense val="0"/>
        <extend val="0"/>
        <outline val="0"/>
        <shadow val="0"/>
        <u val="none"/>
        <vertAlign val="baseline"/>
        <sz val="11"/>
        <color theme="1"/>
        <name val="Arial Black"/>
        <family val="2"/>
        <scheme val="none"/>
      </font>
      <numFmt numFmtId="164" formatCode="d\-mmm\-yyyy"/>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5" tint="0.39997558519241921"/>
        </left>
        <right style="thin">
          <color theme="5" tint="0.39997558519241921"/>
        </right>
        <top style="thin">
          <color theme="5" tint="0.39997558519241921"/>
        </top>
        <bottom style="thin">
          <color theme="5" tint="0.39997558519241921"/>
        </bottom>
      </border>
      <protection locked="1" hidden="1"/>
    </dxf>
    <dxf>
      <border outline="0">
        <top style="thin">
          <color auto="1"/>
        </top>
        <bottom style="thin">
          <color theme="5" tint="0.39997558519241921"/>
        </bottom>
      </border>
    </dxf>
    <dxf>
      <font>
        <b/>
        <i val="0"/>
        <strike val="0"/>
        <condense val="0"/>
        <extend val="0"/>
        <outline val="0"/>
        <shadow val="0"/>
        <u val="none"/>
        <vertAlign val="baseline"/>
        <sz val="11"/>
        <color theme="1"/>
        <name val="Arial Black"/>
        <family val="2"/>
        <scheme val="none"/>
      </font>
      <fill>
        <patternFill patternType="solid">
          <fgColor indexed="64"/>
          <bgColor theme="0" tint="-4.9989318521683403E-2"/>
        </patternFill>
      </fill>
      <alignment horizontal="center" vertical="center" textRotation="0" wrapText="1" indent="0" justifyLastLine="0" shrinkToFit="0" readingOrder="0"/>
      <protection locked="1" hidden="1"/>
    </dxf>
    <dxf>
      <font>
        <b/>
        <i val="0"/>
        <strike val="0"/>
        <condense val="0"/>
        <extend val="0"/>
        <outline val="0"/>
        <shadow val="0"/>
        <u val="none"/>
        <vertAlign val="baseline"/>
        <sz val="11"/>
        <color theme="1"/>
        <name val="Arial Black"/>
        <family val="2"/>
        <scheme val="none"/>
      </font>
      <fill>
        <patternFill patternType="solid">
          <fgColor indexed="64"/>
          <bgColor theme="6" tint="-0.499984740745262"/>
        </patternFill>
      </fill>
      <alignment horizontal="center" vertical="center" textRotation="0" wrapText="1" indent="0" justifyLastLine="0" shrinkToFit="0" readingOrder="0"/>
      <border diagonalUp="0" diagonalDown="0" outline="0">
        <left style="thin">
          <color auto="1"/>
        </left>
        <right style="thin">
          <color auto="1"/>
        </right>
        <top/>
        <bottom/>
      </border>
    </dxf>
    <dxf>
      <font>
        <b/>
      </font>
    </dxf>
    <dxf>
      <font>
        <b/>
      </font>
    </dxf>
    <dxf>
      <font>
        <b/>
      </font>
    </dxf>
    <dxf>
      <font>
        <b/>
      </font>
    </dxf>
    <dxf>
      <font>
        <b/>
      </font>
    </dxf>
    <dxf>
      <font>
        <color theme="0"/>
      </font>
    </dxf>
    <dxf>
      <font>
        <color theme="0"/>
      </font>
    </dxf>
    <dxf>
      <fill>
        <patternFill patternType="solid">
          <bgColor theme="0" tint="-4.9989318521683403E-2"/>
        </patternFill>
      </fill>
    </dxf>
    <dxf>
      <font>
        <color auto="1"/>
      </fon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166" formatCode="[$AED]\ #,##0"/>
    </dxf>
    <dxf>
      <numFmt numFmtId="166" formatCode="[$AED]\ #,##0"/>
    </dxf>
    <dxf>
      <font>
        <b/>
      </font>
    </dxf>
    <dxf>
      <numFmt numFmtId="166" formatCode="[$AED]\ #,##0"/>
    </dxf>
    <dxf>
      <numFmt numFmtId="166" formatCode="[$AED]\ #,##0"/>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499984740745262"/>
        </patternFill>
      </fill>
    </dxf>
    <dxf>
      <fill>
        <patternFill>
          <bgColor theme="9" tint="-0.499984740745262"/>
        </patternFill>
      </fill>
    </dxf>
    <dxf>
      <font>
        <color auto="1"/>
      </font>
    </dxf>
    <dxf>
      <font>
        <b/>
      </font>
    </dxf>
    <dxf>
      <font>
        <color auto="1"/>
      </font>
    </dxf>
    <dxf>
      <font>
        <color auto="1"/>
      </font>
    </dxf>
    <dxf>
      <font>
        <b/>
      </font>
    </dxf>
    <dxf>
      <font>
        <b/>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b/>
      </font>
    </dxf>
    <dxf>
      <font>
        <color auto="1"/>
      </font>
    </dxf>
    <dxf>
      <font>
        <color auto="1"/>
      </font>
    </dxf>
    <dxf>
      <font>
        <color auto="1"/>
      </font>
    </dxf>
    <dxf>
      <font>
        <color auto="1"/>
      </font>
    </dxf>
    <dxf>
      <font>
        <color auto="1"/>
      </font>
    </dxf>
    <dxf>
      <font>
        <color auto="1"/>
      </font>
    </dxf>
    <dxf>
      <numFmt numFmtId="0" formatCode="General"/>
    </dxf>
    <dxf>
      <numFmt numFmtId="166" formatCode="[$AED]\ #,##0"/>
    </dxf>
    <dxf>
      <numFmt numFmtId="166" formatCode="[$AED]\ #,##0"/>
    </dxf>
    <dxf>
      <numFmt numFmtId="170" formatCode="&quot;$&quot;#,##0.00"/>
    </dxf>
    <dxf>
      <fill>
        <patternFill patternType="solid">
          <bgColor theme="0" tint="-4.9989318521683403E-2"/>
        </patternFill>
      </fill>
    </dxf>
    <dxf>
      <font>
        <color auto="1"/>
      </font>
    </dxf>
    <dxf>
      <font>
        <color auto="1"/>
      </font>
    </dxf>
    <dxf>
      <font>
        <b/>
      </font>
    </dxf>
    <dxf>
      <font>
        <b/>
      </font>
    </dxf>
    <dxf>
      <font>
        <color auto="1"/>
      </font>
    </dxf>
    <dxf>
      <font>
        <b val="0"/>
      </font>
    </dxf>
    <dxf>
      <font>
        <b val="0"/>
      </font>
    </dxf>
    <dxf>
      <font>
        <b val="0"/>
      </font>
    </dxf>
    <dxf>
      <font>
        <b val="0"/>
      </font>
    </dxf>
    <dxf>
      <font>
        <b val="0"/>
      </font>
    </dxf>
    <dxf>
      <font>
        <b val="0"/>
      </font>
    </dxf>
    <dxf>
      <font>
        <b val="0"/>
      </font>
    </dxf>
    <dxf>
      <font>
        <b val="0"/>
      </font>
    </dxf>
    <dxf>
      <font>
        <b/>
      </font>
    </dxf>
    <dxf>
      <font>
        <b/>
      </font>
    </dxf>
    <dxf>
      <font>
        <b val="0"/>
      </font>
    </dxf>
    <dxf>
      <numFmt numFmtId="166" formatCode="[$AED]\ #,##0"/>
    </dxf>
    <dxf>
      <numFmt numFmtId="166" formatCode="[$AED]\ #,##0"/>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AED]\ #,##0"/>
    </dxf>
    <dxf>
      <numFmt numFmtId="166" formatCode="[$AED]\ #,##0"/>
    </dxf>
    <dxf>
      <numFmt numFmtId="166" formatCode="[$AED]\ #,##0"/>
    </dxf>
    <dxf>
      <numFmt numFmtId="166" formatCode="[$AED]\ #,##0"/>
    </dxf>
    <dxf>
      <numFmt numFmtId="166" formatCode="[$AED]\ #,##0"/>
    </dxf>
    <dxf>
      <numFmt numFmtId="166" formatCode="[$AED]\ #,##0"/>
    </dxf>
    <dxf>
      <numFmt numFmtId="166" formatCode="[$AED]\ #,##0"/>
    </dxf>
    <dxf>
      <numFmt numFmtId="166" formatCode="[$AED]\ #,##0"/>
    </dxf>
    <dxf>
      <numFmt numFmtId="166" formatCode="[$AED]\ #,##0"/>
    </dxf>
    <dxf>
      <numFmt numFmtId="166" formatCode="[$AED]\ #,##0"/>
    </dxf>
    <dxf>
      <numFmt numFmtId="166" formatCode="[$AED]\ #,##0"/>
    </dxf>
    <dxf>
      <numFmt numFmtId="166" formatCode="[$AED]\ #,##0"/>
    </dxf>
    <dxf>
      <font>
        <b/>
      </font>
    </dxf>
    <dxf>
      <font>
        <b/>
      </font>
    </dxf>
    <dxf>
      <font>
        <b/>
      </font>
      <numFmt numFmtId="169" formatCode="_([$AED]\ * #,##0_);_([$AED]\ * \(#,##0\);_([$AED]\ * &quot;-&quot;_);_(@_)"/>
    </dxf>
    <dxf>
      <fill>
        <patternFill patternType="none">
          <fgColor indexed="64"/>
          <bgColor indexed="65"/>
        </patternFill>
      </fill>
    </dxf>
    <dxf>
      <font>
        <b val="0"/>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font>
    </dxf>
    <dxf>
      <font>
        <b/>
      </font>
    </dxf>
    <dxf>
      <font>
        <b/>
      </font>
    </dxf>
    <dxf>
      <font>
        <b/>
      </font>
    </dxf>
    <dxf>
      <font>
        <b/>
      </font>
    </dxf>
    <dxf>
      <font>
        <b/>
      </font>
    </dxf>
    <dxf>
      <font>
        <b/>
      </font>
    </dxf>
    <dxf>
      <font>
        <b/>
      </font>
    </dxf>
    <dxf>
      <font>
        <b/>
      </font>
    </dxf>
    <dxf>
      <font>
        <b/>
      </font>
    </dxf>
    <dxf>
      <font>
        <b/>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numFmt numFmtId="169" formatCode="_([$AED]\ * #,##0_);_([$AED]\ * \(#,##0\);_([$AED]\ * &quot;-&quot;_);_(@_)"/>
    </dxf>
    <dxf>
      <font>
        <b/>
      </font>
    </dxf>
    <dxf>
      <numFmt numFmtId="169" formatCode="_([$AED]\ * #,##0_);_([$AED]\ * \(#,##0\);_([$AED]\ * &quot;-&quot;_);_(@_)"/>
    </dxf>
    <dxf>
      <font>
        <color theme="0"/>
      </font>
    </dxf>
    <dxf>
      <font>
        <color theme="0"/>
      </font>
    </dxf>
    <dxf>
      <fill>
        <patternFill patternType="solid">
          <bgColor theme="0" tint="-4.9989318521683403E-2"/>
        </patternFill>
      </fill>
    </dxf>
    <dxf>
      <font>
        <color auto="1"/>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4"/>
        <name val="Calibri"/>
        <family val="2"/>
        <scheme val="minor"/>
      </font>
      <numFmt numFmtId="0" formatCode="General"/>
      <fill>
        <patternFill patternType="solid">
          <fgColor indexed="64"/>
          <bgColor theme="0" tint="-4.9989318521683403E-2"/>
        </patternFill>
      </fill>
      <alignment horizontal="center" vertical="center" textRotation="0" wrapText="0" indent="0" justifyLastLine="0" shrinkToFit="0" readingOrder="0"/>
      <protection locked="0" hidden="0"/>
    </dxf>
    <dxf>
      <font>
        <strike val="0"/>
        <outline val="0"/>
        <shadow val="0"/>
        <vertAlign val="baseline"/>
        <sz val="14"/>
        <name val="Calibri"/>
        <family val="2"/>
        <scheme val="minor"/>
      </font>
      <numFmt numFmtId="0" formatCode="General"/>
      <fill>
        <patternFill patternType="solid">
          <fgColor indexed="64"/>
          <bgColor theme="0" tint="-4.9989318521683403E-2"/>
        </patternFill>
      </fill>
      <alignment horizontal="center" vertical="center" textRotation="0" wrapText="0" indent="0" justifyLastLine="0" shrinkToFit="0" readingOrder="0"/>
      <protection locked="0" hidden="0"/>
    </dxf>
    <dxf>
      <font>
        <strike val="0"/>
        <outline val="0"/>
        <shadow val="0"/>
        <vertAlign val="baseline"/>
        <sz val="14"/>
        <name val="Calibri"/>
        <family val="2"/>
        <scheme val="minor"/>
      </font>
      <numFmt numFmtId="0" formatCode="General"/>
      <fill>
        <patternFill patternType="solid">
          <fgColor indexed="64"/>
          <bgColor theme="0" tint="-4.9989318521683403E-2"/>
        </patternFill>
      </fill>
      <alignment horizontal="center" vertical="center" textRotation="0" wrapText="0" indent="0" justifyLastLine="0" shrinkToFit="0" readingOrder="0"/>
      <protection locked="0" hidden="0"/>
    </dxf>
    <dxf>
      <font>
        <strike val="0"/>
        <outline val="0"/>
        <shadow val="0"/>
        <vertAlign val="baseline"/>
        <sz val="14"/>
        <name val="Calibri"/>
        <family val="2"/>
        <scheme val="minor"/>
      </font>
      <numFmt numFmtId="0" formatCode="General"/>
      <fill>
        <patternFill patternType="solid">
          <fgColor indexed="64"/>
          <bgColor theme="0" tint="-4.9989318521683403E-2"/>
        </patternFill>
      </fill>
      <alignment horizontal="center" vertical="center" textRotation="0" wrapText="0" indent="0" justifyLastLine="0" shrinkToFit="0" readingOrder="0"/>
      <protection locked="0" hidden="0"/>
    </dxf>
    <dxf>
      <font>
        <strike val="0"/>
        <outline val="0"/>
        <shadow val="0"/>
        <vertAlign val="baseline"/>
        <sz val="14"/>
        <name val="Calibri"/>
        <family val="2"/>
        <scheme val="minor"/>
      </font>
      <numFmt numFmtId="0" formatCode="General"/>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rgb="FF000000"/>
        </left>
        <right/>
        <top style="thin">
          <color rgb="FF000000"/>
        </top>
        <bottom style="thin">
          <color rgb="FF000000"/>
        </bottom>
      </border>
      <protection locked="0" hidden="0"/>
    </dxf>
    <dxf>
      <font>
        <b val="0"/>
        <i val="0"/>
        <strike val="0"/>
        <condense val="0"/>
        <extend val="0"/>
        <outline val="0"/>
        <shadow val="0"/>
        <u val="none"/>
        <vertAlign val="baseline"/>
        <sz val="14"/>
        <color theme="1"/>
        <name val="Calibri"/>
        <family val="2"/>
        <scheme val="minor"/>
      </font>
      <numFmt numFmtId="0" formatCode="General"/>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rgb="FF000000"/>
        </left>
        <right style="thin">
          <color rgb="FF000000"/>
        </right>
        <top/>
        <bottom style="thin">
          <color rgb="FF000000"/>
        </bottom>
      </border>
      <protection locked="0" hidden="0"/>
    </dxf>
    <dxf>
      <font>
        <strike val="0"/>
        <outline val="0"/>
        <shadow val="0"/>
        <vertAlign val="baseline"/>
        <sz val="14"/>
        <name val="Calibri"/>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4"/>
        <color theme="1"/>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protection locked="0" hidden="0"/>
    </dxf>
    <dxf>
      <font>
        <strike val="0"/>
        <outline val="0"/>
        <shadow val="0"/>
        <vertAlign val="baseline"/>
        <sz val="14"/>
        <name val="Calibri"/>
        <family val="2"/>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protection locked="0" hidden="0"/>
    </dxf>
    <dxf>
      <font>
        <strike val="0"/>
        <outline val="0"/>
        <shadow val="0"/>
        <vertAlign val="baseline"/>
        <sz val="14"/>
        <name val="Calibri"/>
        <family val="2"/>
        <scheme val="minor"/>
      </font>
      <numFmt numFmtId="0" formatCode="General"/>
      <fill>
        <patternFill patternType="solid">
          <fgColor indexed="64"/>
          <bgColor theme="0" tint="-4.9989318521683403E-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protection locked="0" hidden="0"/>
    </dxf>
    <dxf>
      <font>
        <strike val="0"/>
        <outline val="0"/>
        <shadow val="0"/>
        <vertAlign val="baseline"/>
        <sz val="14"/>
        <name val="Calibri"/>
        <family val="2"/>
        <scheme val="minor"/>
      </font>
      <numFmt numFmtId="2" formatCode="0.00"/>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protection locked="0" hidden="0"/>
    </dxf>
    <dxf>
      <font>
        <b/>
        <i val="0"/>
        <strike val="0"/>
        <condense val="0"/>
        <extend val="0"/>
        <outline val="0"/>
        <shadow val="0"/>
        <u val="none"/>
        <vertAlign val="baseline"/>
        <sz val="14"/>
        <color theme="1"/>
        <name val="Calibri"/>
        <family val="2"/>
        <scheme val="minor"/>
      </font>
      <numFmt numFmtId="30" formatCode="@"/>
      <fill>
        <patternFill patternType="solid">
          <fgColor indexed="64"/>
          <bgColor rgb="FFFFFF00"/>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protection locked="0" hidden="0"/>
    </dxf>
    <dxf>
      <font>
        <strike val="0"/>
        <outline val="0"/>
        <shadow val="0"/>
        <vertAlign val="baseline"/>
        <sz val="14"/>
        <name val="Calibri"/>
        <family val="2"/>
        <scheme val="minor"/>
      </font>
      <numFmt numFmtId="0" formatCode="General"/>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protection locked="0" hidden="0"/>
    </dxf>
    <dxf>
      <font>
        <strike val="0"/>
        <outline val="0"/>
        <shadow val="0"/>
        <vertAlign val="baseline"/>
        <sz val="14"/>
        <name val="Calibri"/>
        <family val="2"/>
        <scheme val="minor"/>
      </font>
      <numFmt numFmtId="0" formatCode="General"/>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protection locked="0" hidden="0"/>
    </dxf>
    <dxf>
      <font>
        <strike val="0"/>
        <outline val="0"/>
        <shadow val="0"/>
        <vertAlign val="baseline"/>
        <sz val="14"/>
        <name val="Calibri"/>
        <family val="2"/>
        <scheme val="minor"/>
      </font>
      <numFmt numFmtId="164" formatCode="d\-mmm\-yyyy"/>
      <fill>
        <patternFill patternType="solid">
          <fgColor indexed="64"/>
          <bgColor theme="0" tint="-4.9989318521683403E-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protection locked="0" hidden="0"/>
    </dxf>
    <dxf>
      <font>
        <b val="0"/>
        <i val="0"/>
        <strike val="0"/>
        <condense val="0"/>
        <extend val="0"/>
        <outline val="0"/>
        <shadow val="0"/>
        <u val="none"/>
        <vertAlign val="baseline"/>
        <sz val="14"/>
        <color theme="1"/>
        <name val="Calibri"/>
        <family val="2"/>
        <scheme val="minor"/>
      </font>
      <numFmt numFmtId="164" formatCode="d\-mmm\-yyyy"/>
      <fill>
        <patternFill patternType="solid">
          <fgColor indexed="64"/>
          <bgColor theme="0" tint="-4.9989318521683403E-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protection locked="0" hidden="0"/>
    </dxf>
    <dxf>
      <font>
        <b/>
        <i val="0"/>
        <strike val="0"/>
        <condense val="0"/>
        <extend val="0"/>
        <outline val="0"/>
        <shadow val="0"/>
        <u val="none"/>
        <vertAlign val="baseline"/>
        <sz val="14"/>
        <color theme="3" tint="-0.249977111117893"/>
        <name val="Calibri"/>
        <family val="2"/>
        <scheme val="minor"/>
      </font>
      <numFmt numFmtId="30" formatCode="@"/>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protection locked="0" hidden="0"/>
    </dxf>
    <dxf>
      <font>
        <strike val="0"/>
        <outline val="0"/>
        <shadow val="0"/>
        <vertAlign val="baseline"/>
        <sz val="14"/>
        <name val="Calibri"/>
        <family val="2"/>
        <scheme val="minor"/>
      </font>
      <numFmt numFmtId="0" formatCode="General"/>
      <alignment horizontal="center" wrapText="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protection locked="0" hidden="0"/>
    </dxf>
    <dxf>
      <font>
        <b val="0"/>
        <i val="0"/>
        <strike val="0"/>
        <condense val="0"/>
        <extend val="0"/>
        <outline val="0"/>
        <shadow val="0"/>
        <u val="none"/>
        <vertAlign val="baseline"/>
        <sz val="14"/>
        <color theme="1"/>
        <name val="Calibri"/>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strike val="0"/>
        <outline val="0"/>
        <shadow val="0"/>
        <vertAlign val="baseline"/>
        <sz val="14"/>
        <name val="Calibri"/>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ertAlign val="baseline"/>
        <sz val="14"/>
        <color theme="10"/>
        <name val="Calibri"/>
        <family val="2"/>
        <scheme val="minor"/>
      </font>
      <numFmt numFmtId="1" formatCode="0"/>
      <fill>
        <patternFill patternType="solid">
          <fgColor indexed="64"/>
          <bgColor theme="0" tint="-4.9989318521683403E-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strike val="0"/>
        <outline val="0"/>
        <shadow val="0"/>
        <vertAlign val="baseline"/>
        <sz val="14"/>
        <name val="Calibri"/>
        <family val="2"/>
        <scheme val="minor"/>
      </font>
      <numFmt numFmtId="1" formatCode="0"/>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4"/>
        <color theme="10"/>
        <name val="Calibri"/>
        <family val="2"/>
        <scheme val="minor"/>
      </font>
      <numFmt numFmtId="0" formatCode="General"/>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protection locked="0" hidden="0"/>
    </dxf>
    <dxf>
      <font>
        <strike val="0"/>
        <outline val="0"/>
        <shadow val="0"/>
        <vertAlign val="baseline"/>
        <sz val="14"/>
        <name val="Calibri"/>
        <family val="2"/>
        <scheme val="minor"/>
      </font>
      <numFmt numFmtId="4" formatCode="#,##0.00"/>
      <fill>
        <patternFill patternType="solid">
          <fgColor indexed="64"/>
          <bgColor theme="0" tint="-4.9989318521683403E-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border>
      <protection locked="0" hidden="0"/>
    </dxf>
    <dxf>
      <font>
        <strike val="0"/>
        <outline val="0"/>
        <shadow val="0"/>
        <vertAlign val="baseline"/>
        <sz val="14"/>
        <name val="Calibri"/>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protection locked="0" hidden="0"/>
    </dxf>
    <dxf>
      <font>
        <b/>
        <strike val="0"/>
        <outline val="0"/>
        <shadow val="0"/>
        <vertAlign val="baseline"/>
        <sz val="14"/>
        <name val="Calibri"/>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protection locked="0" hidden="0"/>
    </dxf>
    <dxf>
      <font>
        <strike val="0"/>
        <outline val="0"/>
        <shadow val="0"/>
        <vertAlign val="baseline"/>
        <sz val="14"/>
        <name val="Calibri"/>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border>
      <protection locked="0" hidden="0"/>
    </dxf>
    <dxf>
      <font>
        <b/>
        <strike val="0"/>
        <outline val="0"/>
        <shadow val="0"/>
        <vertAlign val="baseline"/>
        <sz val="14"/>
        <name val="Calibri"/>
        <family val="2"/>
        <scheme val="minor"/>
      </font>
      <numFmt numFmtId="30" formatCode="@"/>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protection locked="0" hidden="0"/>
    </dxf>
    <dxf>
      <font>
        <strike val="0"/>
        <outline val="0"/>
        <shadow val="0"/>
        <vertAlign val="baseline"/>
        <sz val="14"/>
        <name val="Calibri"/>
        <family val="2"/>
        <scheme val="minor"/>
      </font>
      <numFmt numFmtId="164" formatCode="d\-mmm\-yyyy"/>
      <fill>
        <patternFill patternType="solid">
          <fgColor indexed="64"/>
          <bgColor rgb="FF92D050"/>
        </patternFill>
      </fill>
      <alignment horizontal="center" vertical="center" textRotation="0" wrapText="1" indent="0" justifyLastLine="0" shrinkToFit="0" readingOrder="0"/>
      <border diagonalUp="0" diagonalDown="0">
        <left style="thin">
          <color rgb="FF000000"/>
        </left>
        <right/>
        <top style="thin">
          <color rgb="FF000000"/>
        </top>
        <bottom style="thin">
          <color rgb="FF000000"/>
        </bottom>
      </border>
      <protection locked="0" hidden="0"/>
    </dxf>
    <dxf>
      <font>
        <b val="0"/>
        <i val="0"/>
        <strike val="0"/>
        <condense val="0"/>
        <extend val="0"/>
        <outline val="0"/>
        <shadow val="0"/>
        <u val="none"/>
        <vertAlign val="baseline"/>
        <sz val="14"/>
        <color theme="1"/>
        <name val="Calibri"/>
        <family val="2"/>
        <scheme val="minor"/>
      </font>
      <numFmt numFmtId="0" formatCode="General"/>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protection locked="0" hidden="0"/>
    </dxf>
    <dxf>
      <font>
        <b val="0"/>
        <strike val="0"/>
        <outline val="0"/>
        <shadow val="0"/>
        <vertAlign val="baseline"/>
        <sz val="14"/>
        <name val="Calibri"/>
        <family val="2"/>
        <scheme val="minor"/>
      </font>
      <numFmt numFmtId="164" formatCode="d\-mmm\-yyyy"/>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protection locked="0" hidden="0"/>
    </dxf>
    <dxf>
      <font>
        <strike val="0"/>
        <outline val="0"/>
        <shadow val="0"/>
        <vertAlign val="baseline"/>
        <sz val="14"/>
        <name val="Calibri"/>
        <family val="2"/>
        <scheme val="minor"/>
      </font>
      <numFmt numFmtId="19" formatCode="m/d/yyyy"/>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protection locked="0" hidden="0"/>
    </dxf>
    <dxf>
      <font>
        <strike val="0"/>
        <outline val="0"/>
        <shadow val="0"/>
        <vertAlign val="baseline"/>
        <sz val="14"/>
        <name val="Calibri"/>
        <family val="2"/>
        <scheme val="minor"/>
      </font>
      <numFmt numFmtId="19" formatCode="m/d/yyyy"/>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4"/>
        <color theme="1"/>
        <name val="Calibri"/>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4"/>
        <color theme="1"/>
        <name val="Calibri"/>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protection locked="0" hidden="0"/>
    </dxf>
    <dxf>
      <font>
        <b val="0"/>
        <i val="0"/>
        <strike val="0"/>
        <condense val="0"/>
        <extend val="0"/>
        <outline val="0"/>
        <shadow val="0"/>
        <u val="none"/>
        <vertAlign val="baseline"/>
        <sz val="14"/>
        <color theme="1"/>
        <name val="Calibri"/>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protection locked="0" hidden="0"/>
    </dxf>
    <dxf>
      <font>
        <b val="0"/>
        <i val="0"/>
        <strike val="0"/>
        <condense val="0"/>
        <extend val="0"/>
        <outline val="0"/>
        <shadow val="0"/>
        <u val="none"/>
        <vertAlign val="baseline"/>
        <sz val="14"/>
        <color theme="1"/>
        <name val="Calibri"/>
        <family val="2"/>
        <scheme val="minor"/>
      </font>
      <numFmt numFmtId="0" formatCode="General"/>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protection locked="0" hidden="0"/>
    </dxf>
    <dxf>
      <font>
        <b/>
        <i val="0"/>
        <strike val="0"/>
        <condense val="0"/>
        <extend val="0"/>
        <outline val="0"/>
        <shadow val="0"/>
        <u val="none"/>
        <vertAlign val="baseline"/>
        <sz val="14"/>
        <color theme="1"/>
        <name val="Calibri"/>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protection locked="0" hidden="0"/>
    </dxf>
    <dxf>
      <border diagonalUp="0" diagonalDown="0">
        <left style="thin">
          <color auto="1"/>
        </left>
        <right style="thin">
          <color auto="1"/>
        </right>
        <top style="thin">
          <color indexed="64"/>
        </top>
        <bottom/>
      </border>
    </dxf>
    <dxf>
      <font>
        <strike val="0"/>
        <outline val="0"/>
        <shadow val="0"/>
        <vertAlign val="baseline"/>
        <sz val="14"/>
        <name val="Calibri"/>
        <family val="2"/>
        <scheme val="minor"/>
      </font>
      <fill>
        <patternFill patternType="solid">
          <fgColor indexed="64"/>
          <bgColor theme="0" tint="-4.9989318521683403E-2"/>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2"/>
        <color theme="0"/>
        <name val="Century Gothic"/>
        <family val="2"/>
        <scheme val="none"/>
      </font>
      <fill>
        <patternFill patternType="solid">
          <fgColor indexed="64"/>
          <bgColor theme="8" tint="0.39997558519241921"/>
        </patternFill>
      </fill>
      <alignment horizontal="center" vertical="center" textRotation="0" wrapText="0" indent="0" justifyLastLine="0" shrinkToFit="0" readingOrder="0"/>
      <border diagonalUp="0" diagonalDown="0">
        <left style="thin">
          <color auto="1"/>
        </left>
        <right style="thin">
          <color auto="1"/>
        </right>
        <top/>
        <bottom/>
      </border>
      <protection locked="1" hidden="1"/>
    </dxf>
    <dxf>
      <font>
        <b/>
        <i val="0"/>
      </font>
      <fill>
        <patternFill patternType="darkDown">
          <fgColor rgb="FF6EA92D"/>
          <bgColor rgb="FF92D050"/>
        </patternFill>
      </fill>
    </dxf>
    <dxf>
      <font>
        <b/>
        <i val="0"/>
      </font>
      <fill>
        <patternFill patternType="darkDown">
          <fgColor rgb="FF6EA92D"/>
          <bgColor rgb="FF92D050"/>
        </patternFill>
      </fill>
    </dxf>
    <dxf>
      <font>
        <b/>
        <i val="0"/>
      </font>
      <fill>
        <patternFill patternType="solid">
          <bgColor theme="0" tint="-0.14999847407452621"/>
        </patternFill>
      </fill>
    </dxf>
    <dxf>
      <font>
        <b/>
        <i val="0"/>
      </font>
      <fill>
        <patternFill patternType="darkDown">
          <fgColor rgb="FF6EA92D"/>
          <bgColor rgb="FF92D050"/>
        </patternFill>
      </fill>
    </dxf>
    <dxf>
      <fill>
        <patternFill>
          <bgColor theme="9" tint="0.39994506668294322"/>
        </patternFill>
      </fill>
    </dxf>
    <dxf>
      <fill>
        <patternFill>
          <bgColor theme="6" tint="0.39994506668294322"/>
        </patternFill>
      </fill>
    </dxf>
    <dxf>
      <font>
        <b/>
        <i val="0"/>
        <strike/>
      </font>
      <fill>
        <patternFill>
          <bgColor theme="0" tint="-0.24994659260841701"/>
        </patternFill>
      </fill>
    </dxf>
    <dxf>
      <fill>
        <patternFill>
          <bgColor theme="9" tint="0.39994506668294322"/>
        </patternFill>
      </fill>
    </dxf>
    <dxf>
      <fill>
        <patternFill>
          <bgColor theme="6" tint="0.39994506668294322"/>
        </patternFill>
      </fill>
    </dxf>
    <dxf>
      <font>
        <b/>
        <i val="0"/>
        <strike/>
      </font>
      <fill>
        <patternFill>
          <bgColor theme="0" tint="-0.24994659260841701"/>
        </patternFill>
      </fill>
    </dxf>
    <dxf>
      <fill>
        <patternFill>
          <bgColor theme="9" tint="0.39994506668294322"/>
        </patternFill>
      </fill>
    </dxf>
    <dxf>
      <fill>
        <patternFill>
          <bgColor theme="6" tint="0.39994506668294322"/>
        </patternFill>
      </fill>
    </dxf>
    <dxf>
      <font>
        <strike/>
      </font>
      <fill>
        <patternFill>
          <bgColor theme="0" tint="-0.24994659260841701"/>
        </patternFill>
      </fill>
    </dxf>
    <dxf>
      <font>
        <b/>
        <i val="0"/>
        <strike/>
        <color rgb="FF00B050"/>
      </font>
      <fill>
        <patternFill>
          <bgColor theme="0"/>
        </patternFill>
      </fill>
    </dxf>
    <dxf>
      <font>
        <color theme="1"/>
      </font>
      <fill>
        <patternFill>
          <bgColor theme="2" tint="-0.24994659260841701"/>
        </patternFill>
      </fill>
    </dxf>
    <dxf>
      <fill>
        <patternFill>
          <bgColor theme="9" tint="0.39994506668294322"/>
        </patternFill>
      </fill>
    </dxf>
    <dxf>
      <fill>
        <patternFill>
          <bgColor theme="6" tint="0.39994506668294322"/>
        </patternFill>
      </fill>
    </dxf>
    <dxf>
      <font>
        <b/>
        <i val="0"/>
        <strike/>
      </font>
      <fill>
        <patternFill>
          <bgColor theme="0" tint="-0.24994659260841701"/>
        </patternFill>
      </fill>
    </dxf>
    <dxf>
      <font>
        <b/>
        <i val="0"/>
      </font>
      <fill>
        <patternFill patternType="darkDown">
          <fgColor rgb="FF6EA92D"/>
          <bgColor rgb="FF92D050"/>
        </patternFill>
      </fill>
    </dxf>
    <dxf>
      <numFmt numFmtId="166" formatCode="[$AED]\ #,##0"/>
    </dxf>
    <dxf>
      <numFmt numFmtId="166" formatCode="[$AED]\ #,##0"/>
    </dxf>
    <dxf>
      <numFmt numFmtId="166" formatCode="[$AED]\ #,##0"/>
    </dxf>
    <dxf>
      <numFmt numFmtId="166" formatCode="[$AED]\ #,##0"/>
    </dxf>
    <dxf>
      <fill>
        <patternFill patternType="solid">
          <bgColor theme="0" tint="-4.9989318521683403E-2"/>
        </patternFill>
      </fill>
    </dxf>
    <dxf>
      <font>
        <color auto="1"/>
      </font>
    </dxf>
    <dxf>
      <font>
        <color auto="1"/>
      </font>
    </dxf>
    <dxf>
      <font>
        <b/>
      </font>
    </dxf>
    <dxf>
      <font>
        <b/>
      </font>
    </dxf>
    <dxf>
      <font>
        <color auto="1"/>
      </font>
    </dxf>
    <dxf>
      <font>
        <b val="0"/>
      </font>
    </dxf>
    <dxf>
      <font>
        <b val="0"/>
      </font>
    </dxf>
    <dxf>
      <font>
        <b val="0"/>
      </font>
    </dxf>
    <dxf>
      <font>
        <b val="0"/>
      </font>
    </dxf>
    <dxf>
      <font>
        <b val="0"/>
      </font>
    </dxf>
    <dxf>
      <font>
        <b val="0"/>
      </font>
    </dxf>
    <dxf>
      <font>
        <b val="0"/>
      </font>
    </dxf>
    <dxf>
      <font>
        <b val="0"/>
      </font>
    </dxf>
    <dxf>
      <font>
        <b/>
      </font>
    </dxf>
    <dxf>
      <font>
        <b/>
      </font>
    </dxf>
    <dxf>
      <font>
        <b val="0"/>
      </font>
    </dxf>
    <dxf>
      <numFmt numFmtId="166" formatCode="[$AED]\ #,##0"/>
    </dxf>
    <dxf>
      <numFmt numFmtId="166" formatCode="[$AED]\ #,##0"/>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AED]\ #,##0"/>
    </dxf>
    <dxf>
      <numFmt numFmtId="166" formatCode="[$AED]\ #,##0"/>
    </dxf>
    <dxf>
      <numFmt numFmtId="166" formatCode="[$AED]\ #,##0"/>
    </dxf>
    <dxf>
      <numFmt numFmtId="166" formatCode="[$AED]\ #,##0"/>
    </dxf>
    <dxf>
      <numFmt numFmtId="166" formatCode="[$AED]\ #,##0"/>
    </dxf>
    <dxf>
      <numFmt numFmtId="166" formatCode="[$AED]\ #,##0"/>
    </dxf>
    <dxf>
      <numFmt numFmtId="166" formatCode="[$AED]\ #,##0"/>
    </dxf>
    <dxf>
      <numFmt numFmtId="166" formatCode="[$AED]\ #,##0"/>
    </dxf>
    <dxf>
      <numFmt numFmtId="166" formatCode="[$AED]\ #,##0"/>
    </dxf>
    <dxf>
      <numFmt numFmtId="166" formatCode="[$AED]\ #,##0"/>
    </dxf>
    <dxf>
      <numFmt numFmtId="166" formatCode="[$AED]\ #,##0"/>
    </dxf>
    <dxf>
      <numFmt numFmtId="166" formatCode="[$AED]\ #,##0"/>
    </dxf>
  </dxfs>
  <tableStyles count="0" defaultTableStyle="TableStyleMedium2" defaultPivotStyle="PivotStyleLight16"/>
  <colors>
    <mruColors>
      <color rgb="FFCC6600"/>
      <color rgb="FFF2F2F2"/>
      <color rgb="FFFFFFFF"/>
      <color rgb="FF6EA9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3.xml"/><Relationship Id="rId10" Type="http://schemas.openxmlformats.org/officeDocument/2006/relationships/pivotCacheDefinition" Target="pivotCache/pivotCacheDefinition1.xml"/><Relationship Id="rId19" Type="http://schemas.microsoft.com/office/2022/11/relationships/FeaturePropertyBag" Target="featurePropertyBag/featurePropertyBag.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17</xdr:col>
      <xdr:colOff>466725</xdr:colOff>
      <xdr:row>1</xdr:row>
      <xdr:rowOff>133350</xdr:rowOff>
    </xdr:from>
    <xdr:to>
      <xdr:col>20</xdr:col>
      <xdr:colOff>131445</xdr:colOff>
      <xdr:row>3</xdr:row>
      <xdr:rowOff>38100</xdr:rowOff>
    </xdr:to>
    <mc:AlternateContent xmlns:mc="http://schemas.openxmlformats.org/markup-compatibility/2006" xmlns:a14="http://schemas.microsoft.com/office/drawing/2010/main">
      <mc:Choice Requires="a14">
        <xdr:graphicFrame macro="">
          <xdr:nvGraphicFramePr>
            <xdr:cNvPr id="2" name="SALES ASSOCIATE">
              <a:extLst>
                <a:ext uri="{FF2B5EF4-FFF2-40B4-BE49-F238E27FC236}">
                  <a16:creationId xmlns:a16="http://schemas.microsoft.com/office/drawing/2014/main" id="{46EEF40D-0578-E5F1-5406-C8B9FAF843B5}"/>
                </a:ext>
              </a:extLst>
            </xdr:cNvPr>
            <xdr:cNvGraphicFramePr/>
          </xdr:nvGraphicFramePr>
          <xdr:xfrm>
            <a:off x="0" y="0"/>
            <a:ext cx="0" cy="0"/>
          </xdr:xfrm>
          <a:graphic>
            <a:graphicData uri="http://schemas.microsoft.com/office/drawing/2010/slicer">
              <sle:slicer xmlns:sle="http://schemas.microsoft.com/office/drawing/2010/slicer" name="SALES ASSOCIATE"/>
            </a:graphicData>
          </a:graphic>
        </xdr:graphicFrame>
      </mc:Choice>
      <mc:Fallback xmlns="">
        <xdr:sp macro="" textlink="">
          <xdr:nvSpPr>
            <xdr:cNvPr id="0" name=""/>
            <xdr:cNvSpPr>
              <a:spLocks noTextEdit="1"/>
            </xdr:cNvSpPr>
          </xdr:nvSpPr>
          <xdr:spPr>
            <a:xfrm>
              <a:off x="19432905" y="310515"/>
              <a:ext cx="1834515" cy="2449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bag type="DXFComplements" extRef="D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person displayName="Moath Ali Sharif" id="{D91FCFCF-1D54-49F9-B4F8-B0AB65C2E1F3}" userId="f34ae7bc9827571b" providerId="Windows Live"/>
  <person displayName="Maaz Ali Mohammed Sharif" id="{9324CC04-0B53-4853-B346-ABF51C86976A}" userId="S::maaz@crm-me.com::3f85fc2e-cd22-4430-9665-a01c32dc0835" providerId="AD"/>
  <person displayName="OMARI Asma (EXT-VAC-AE)" id="{63B90C39-6E38-47BB-82ED-BB3353C40DE7}" userId="S::asma.omari@vacheron-constantin.com::261c6ce9-a7e7-4595-9676-ad02885c093d" providerId="AD"/>
  <person displayName="SHARIF Maaz (EXT-VAC-AE)" id="{B30CC94F-FCD8-4228-83F9-E2B58EE29E15}" userId="S::maaz.sharif@vacheron-constantin.com::a671b522-a429-4c82-a824-426545ff4d27"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54.571830671295" createdVersion="8" refreshedVersion="8" minRefreshableVersion="3" recordCount="564" xr:uid="{78C9C2B7-CD93-45F5-B539-BBDC396D50AC}">
  <cacheSource type="worksheet">
    <worksheetSource name="OpenPendingCases"/>
  </cacheSource>
  <cacheFields count="38">
    <cacheField name="No. " numFmtId="0">
      <sharedItems containsString="0" containsBlank="1" containsNumber="1" containsInteger="1" minValue="1" maxValue="100"/>
    </cacheField>
    <cacheField name="Search Open" numFmtId="0">
      <sharedItems containsBlank="1" containsMixedTypes="1" containsNumber="1" containsInteger="1" minValue="1" maxValue="3"/>
    </cacheField>
    <cacheField name="Search pending" numFmtId="0">
      <sharedItems containsMixedTypes="1" containsNumber="1" containsInteger="1" minValue="1" maxValue="7"/>
    </cacheField>
    <cacheField name="CRC Name" numFmtId="0">
      <sharedItems containsBlank="1" count="6">
        <s v="Asma"/>
        <s v="Asma "/>
        <s v="Riham "/>
        <s v="Riham"/>
        <s v="Maaz"/>
        <m/>
      </sharedItems>
    </cacheField>
    <cacheField name="Airtable Request Number" numFmtId="0">
      <sharedItems containsDate="1" containsBlank="1" containsMixedTypes="1" minDate="2025-04-16T00:00:00" maxDate="2025-04-17T00:00:00"/>
    </cacheField>
    <cacheField name="Airtable Request Enty Date" numFmtId="14">
      <sharedItems containsDate="1" containsBlank="1" containsMixedTypes="1" minDate="2024-05-12T00:00:00" maxDate="2025-10-08T00:00:00"/>
    </cacheField>
    <cacheField name="Request Entry Date" numFmtId="14">
      <sharedItems containsNonDate="0" containsDate="1" containsString="0" containsBlank="1" minDate="2024-08-11T00:00:00" maxDate="2025-10-08T00:00:00"/>
    </cacheField>
    <cacheField name="Piece location" numFmtId="164">
      <sharedItems containsBlank="1" count="5">
        <s v="Boutique Stock"/>
        <s v="CRC Stock"/>
        <s v=""/>
        <m/>
        <s v="BTQ Stock"/>
      </sharedItems>
    </cacheField>
    <cacheField name="Transaction location" numFmtId="0">
      <sharedItems containsBlank="1" count="5">
        <s v="Boutique Stock"/>
        <s v="CRC Stock"/>
        <s v=""/>
        <s v="BTQ Stock"/>
        <m u="1"/>
      </sharedItems>
    </cacheField>
    <cacheField name=" Timepiece Status" numFmtId="0">
      <sharedItems containsBlank="1" count="7">
        <s v="Allocation confirmed(Deposit paid)"/>
        <s v="Allocation Closed (Sold)"/>
        <s v="Allocation Confirmed"/>
        <s v="Approved by HQ"/>
        <s v="Awaiting HQ Approval"/>
        <m/>
        <s v="Currently Under Review"/>
      </sharedItems>
    </cacheField>
    <cacheField name="Potential Same Month" numFmtId="49">
      <sharedItems containsBlank="1" count="4">
        <s v="High"/>
        <s v="Medium"/>
        <s v="Low"/>
        <m/>
      </sharedItems>
    </cacheField>
    <cacheField name="Transaction Market" numFmtId="0">
      <sharedItems containsBlank="1"/>
    </cacheField>
    <cacheField name="Timepiece Reference " numFmtId="0">
      <sharedItems containsBlank="1" count="26">
        <s v="7920V/210A-B334"/>
        <s v="5520V/210A-B148 "/>
        <s v="4200H/222J-B935"/>
        <s v="4600E/000A-B442"/>
        <s v="4520V/210R-B705"/>
        <s v="1225V/200A-B590"/>
        <s v="7920V/210A-B333"/>
        <s v="5520V/210A-B686"/>
        <s v="4520V/210A-B128"/>
        <s v="5520V/210R-B966"/>
        <s v="4000V/210A-B911"/>
        <s v="82035/000P-H063"/>
        <s v="7920V/210R-B965"/>
        <s v="4520V/210R-B967"/>
        <s v="7920V/210A-B546"/>
        <s v="4010T/000G-B740"/>
        <s v="4000E/000A-B439"/>
        <s v="43075/000R-9737"/>
        <m/>
        <s v="4605V/200R-B969 "/>
        <s v="4520V/210R-B967 " u="1"/>
        <s v="4300V/220R-B547 " u="1"/>
        <s v="4020T/000P-H038 " u="1"/>
        <s v="4600E/000A-B487 " u="1"/>
        <s v="4520V/210A-B483 " u="1"/>
        <s v="4606F/000G-B649 " u="1"/>
      </sharedItems>
    </cacheField>
    <cacheField name="Collection Name" numFmtId="0">
      <sharedItems containsBlank="1" count="22">
        <s v="Overseas dual time Blue"/>
        <s v="Overseas chronograph"/>
        <s v="Historiques 222"/>
        <s v="Fiftysix self-winding"/>
        <s v="Overseas self-winding"/>
        <s v="Overseas quartz"/>
        <s v="Overseas dual time Silver"/>
        <s v="Overseas chronograph Pink Gold"/>
        <s v="Overseas moon phase retrograde date"/>
        <s v="Historiques American 1921 - Arabic"/>
        <s v="Overseas dual time Green"/>
        <s v="Overseas self-winding Green"/>
        <s v="Overseas dual time Black"/>
        <s v="Traditionnelle complete calendar"/>
        <s v="Fiftysix complete calendar"/>
        <s v="Traditionnelle self-winding ultra-thin"/>
        <s v=""/>
        <m/>
        <s v="Overseas self-winding Green Diamonds - Pink Gold"/>
        <s v="Overseas perpetual calendar ultra-thin skeleton" u="1"/>
        <s v="Traditionnelle complete calendar openface" u="1"/>
        <s v="Fiftysix " u="1"/>
      </sharedItems>
    </cacheField>
    <cacheField name="Price" numFmtId="4">
      <sharedItems containsBlank="1"/>
    </cacheField>
    <cacheField name="Price 2" numFmtId="0">
      <sharedItems containsBlank="1" containsMixedTypes="1" containsNumber="1" containsInteger="1" minValue="48000" maxValue="299000"/>
    </cacheField>
    <cacheField name="Client ID" numFmtId="0">
      <sharedItems containsString="0" containsBlank="1" containsNumber="1" containsInteger="1" minValue="92407646" maxValue="107400628"/>
    </cacheField>
    <cacheField name="Karen Comment ﾂ" numFmtId="0">
      <sharedItems containsBlank="1"/>
    </cacheField>
    <cacheField name="Sale Status_x0009_" numFmtId="0">
      <sharedItems containsBlank="1"/>
    </cacheField>
    <cacheField name="Column1" numFmtId="0">
      <sharedItems containsNonDate="0" containsString="0" containsBlank="1"/>
    </cacheField>
    <cacheField name="Invoice Month" numFmtId="0">
      <sharedItems containsBlank="1"/>
    </cacheField>
    <cacheField name="Payment Method" numFmtId="49">
      <sharedItems containsBlank="1"/>
    </cacheField>
    <cacheField name="Invoice Number" numFmtId="0">
      <sharedItems containsBlank="1" containsMixedTypes="1" containsNumber="1" containsInteger="1" minValue="6100098091" maxValue="6100102079"/>
    </cacheField>
    <cacheField name="Invoice Date" numFmtId="164">
      <sharedItems containsDate="1" containsBlank="1" containsMixedTypes="1" minDate="2025-04-07T00:00:00" maxDate="2025-07-03T00:00:00" count="7">
        <m/>
        <d v="2025-04-07T00:00:00"/>
        <d v="2025-07-02T00:00:00"/>
        <d v="2025-06-13T00:00:00"/>
        <d v="2025-04-27T00:00:00"/>
        <d v="2025-05-03T00:00:00"/>
        <s v="17/6/2025"/>
      </sharedItems>
    </cacheField>
    <cacheField name="NO Of  Open  days" numFmtId="0">
      <sharedItems containsBlank="1"/>
    </cacheField>
    <cacheField name="Pending days (timepieces)" numFmtId="0">
      <sharedItems containsBlank="1"/>
    </cacheField>
    <cacheField name="NO of Pending Days" numFmtId="49">
      <sharedItems containsBlank="1" containsMixedTypes="1" containsNumber="1" containsInteger="1" minValue="18" maxValue="179"/>
    </cacheField>
    <cacheField name="NO Of  Open " numFmtId="2">
      <sharedItems containsBlank="1"/>
    </cacheField>
    <cacheField name="Description" numFmtId="0">
      <sharedItems containsBlank="1" longText="1"/>
    </cacheField>
    <cacheField name="Timepiece Request Updates" numFmtId="0">
      <sharedItems containsBlank="1"/>
    </cacheField>
    <cacheField name="Client Request Updates" numFmtId="0">
      <sharedItems containsBlank="1" longText="1"/>
    </cacheField>
    <cacheField name="Transferred TO" numFmtId="0">
      <sharedItems containsNonDate="0" containsString="0" containsBlank="1"/>
    </cacheField>
    <cacheField name="Captured date (Month and Year)" numFmtId="0">
      <sharedItems/>
    </cacheField>
    <cacheField name="Month" numFmtId="0">
      <sharedItems/>
    </cacheField>
    <cacheField name="Adjusted Price" numFmtId="0">
      <sharedItems containsMixedTypes="1" containsNumber="1" containsInteger="1" minValue="48000" maxValue="299000"/>
    </cacheField>
    <cacheField name="Adjusted Price2" numFmtId="0">
      <sharedItems containsMixedTypes="1" containsNumber="1" containsInteger="1" minValue="48000" maxValue="299000"/>
    </cacheField>
    <cacheField name="Adjusted Price3" numFmtId="0">
      <sharedItems containsMixedTypes="1" containsNumber="1" containsInteger="1" minValue="48000" maxValue="299000"/>
    </cacheField>
    <cacheField name="Adjusted Price4" numFmtId="0">
      <sharedItems containsBlank="1"/>
    </cacheField>
  </cacheFields>
  <extLst>
    <ext xmlns:x14="http://schemas.microsoft.com/office/spreadsheetml/2009/9/main" uri="{725AE2AE-9491-48be-B2B4-4EB974FC3084}">
      <x14:pivotCacheDefinition pivotCacheId="101124535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54.57183090278" createdVersion="8" refreshedVersion="8" minRefreshableVersion="3" recordCount="509" xr:uid="{B108093A-BC7D-4317-9CE3-453C9417AC48}">
  <cacheSource type="worksheet">
    <worksheetSource name="Table14"/>
  </cacheSource>
  <cacheFields count="10">
    <cacheField name="STATUS" numFmtId="0">
      <sharedItems/>
    </cacheField>
    <cacheField name="CLIENT FEEDBACK" numFmtId="0">
      <sharedItems/>
    </cacheField>
    <cacheField name="REQUEST DATE" numFmtId="0">
      <sharedItems/>
    </cacheField>
    <cacheField name="REFERENCE" numFmtId="0">
      <sharedItems count="45">
        <s v="4000V/210A-B911"/>
        <s v="4000E/000A-B439"/>
        <s v="4200H/222A-B934"/>
        <s v="4520V/210A-B128"/>
        <s v="4520V/210A-B483"/>
        <s v="7920V/210R-B965"/>
        <s v="7920V/210A-B546"/>
        <s v="82035/000P-H063"/>
        <s v="5520V/210A-B148"/>
        <s v="82172/000P-H062"/>
        <s v="4300V/220G-B945"/>
        <s v="4010T/000G-B740"/>
        <s v="7920V/210A-B334"/>
        <s v="4200H/222J-B935"/>
        <s v="4600E/000R-H101"/>
        <s v="4520V/210R-B705"/>
        <s v="4600E/000A-B487"/>
        <s v="5520V/210R-B952"/>
        <s v="5520V/210R-B966"/>
        <s v="5520V/210A-B686"/>
        <s v="6000V/210R-B934"/>
        <s v="6000T/000R-B346"/>
        <s v="4520V/210R-B967"/>
        <s v="6010T/000R-B638"/>
        <s v="4600E/000A-B442"/>
        <s v="4000U/000P-H003"/>
        <s v="4300V/220G-B946"/>
        <s v="7920V/210A-B333"/>
        <s v="4520V/210A-B126"/>
        <s v="5520V/210A-B481"/>
        <s v="1225V/200A-B590"/>
        <s v="4600V/200A-B980"/>
        <s v="6000V/110A-B544"/>
        <s v="6000V/210T-H032"/>
        <s v="4300V/220R-B064"/>
        <s v="82035/000R-9359"/>
        <s v="4600E/110A-B487"/>
        <s v="7920V/000R-B336"/>
        <s v="4300V/220R-B509"/>
        <s v="5100T/000P-H041"/>
        <s v="4300V/220R-B547"/>
        <s v="4000E/000A-B548"/>
        <s v="3110V/000A-B426"/>
        <s v="1205V/100A-B591"/>
        <s v="4500V/000R-B127"/>
      </sharedItems>
    </cacheField>
    <cacheField name="BOUTIQUE" numFmtId="0">
      <sharedItems count="1">
        <s v="Phone sales Middle East"/>
      </sharedItems>
    </cacheField>
    <cacheField name="CLIENT ID" numFmtId="0">
      <sharedItems count="410">
        <s v=""/>
        <s v="105678778"/>
        <s v="101467308"/>
        <s v="105678696"/>
        <s v="105562671"/>
        <s v="103643274"/>
        <s v="105487562"/>
        <s v="105366966"/>
        <s v="105338699"/>
        <s v="105366145"/>
        <s v="104559752"/>
        <s v="101893659"/>
        <s v="105306744"/>
        <s v="105225518"/>
        <s v="105232635"/>
        <s v="92425024"/>
        <s v="105234569"/>
        <s v="105231885"/>
        <s v="105224074"/>
        <s v="105248739"/>
        <s v="105370532"/>
        <s v="105223407"/>
        <s v="105371442"/>
        <s v="105122031"/>
        <s v="105116801"/>
        <s v="105117467"/>
        <s v="105413736"/>
        <s v="105001985"/>
        <s v="101108337"/>
        <s v="104989923"/>
        <s v="104977543"/>
        <s v="103771139"/>
        <s v="104939061"/>
        <s v="105007242"/>
        <s v="105372157"/>
        <s v="92397772"/>
        <s v="104908207"/>
        <s v="104994951"/>
        <s v="105485963"/>
        <s v="104687880"/>
        <s v="104802404"/>
        <s v="104687223"/>
        <s v="104982295"/>
        <s v="101107205"/>
        <s v="104922362"/>
        <s v="103645785"/>
        <s v="93231984"/>
        <s v="101921704"/>
        <s v="103831079"/>
        <s v="104181314"/>
        <s v="104908886"/>
        <s v="104849248"/>
        <s v="93232291"/>
        <s v="103617532"/>
        <s v="104564947"/>
        <s v="104853731"/>
        <s v="104853450"/>
        <s v="104769573"/>
        <s v="99219912"/>
        <s v="104796476"/>
        <s v="104689190"/>
        <s v="104609280"/>
        <s v="99351991"/>
        <s v="104572070"/>
        <s v="104576008"/>
        <s v="104513303"/>
        <s v="103058008"/>
        <s v="104075516"/>
        <s v="101055665"/>
        <s v="104506669"/>
        <s v="104509438"/>
        <s v="105118480"/>
        <s v="102277427"/>
        <s v="91002249"/>
        <s v="104481449"/>
        <s v="104455540"/>
        <s v="104909110"/>
        <s v="104241748"/>
        <s v="104457258"/>
        <s v="104482467"/>
        <s v="104455380"/>
        <s v="104455689"/>
        <s v="104455472"/>
        <s v="91002262"/>
        <s v="104459323"/>
        <s v="104397738"/>
        <s v="98874827"/>
        <s v="104457807"/>
        <s v="103673092"/>
        <s v="104299847"/>
        <s v="103621137"/>
        <s v="98609197"/>
        <s v="104329408"/>
        <s v="104375430"/>
        <s v="104183935"/>
        <s v="104375462"/>
        <s v="104326404"/>
        <s v="102680410"/>
        <s v="103847224"/>
        <s v="104255707"/>
        <s v="104270695"/>
        <s v="102905736"/>
        <s v="92404193"/>
        <s v="103831073"/>
        <s v="104181189"/>
        <s v="104459131"/>
        <s v="104137810"/>
        <s v="104137864"/>
        <s v="92402356"/>
        <s v="104495233"/>
        <s v="103985822"/>
        <s v="104069433"/>
        <s v="103936120"/>
        <s v="104050167"/>
        <s v="104044650"/>
        <s v="104044791"/>
        <s v="104048409"/>
        <s v="104044621"/>
        <s v="103976282"/>
        <s v="103985685"/>
        <s v="103471315"/>
        <s v="103937781"/>
        <s v="92425936"/>
        <s v="103879055"/>
        <s v="103936063"/>
        <s v="103873184"/>
        <s v="103890141"/>
        <s v="103844198"/>
        <s v="103677618"/>
        <s v="103658184"/>
        <s v="103844750"/>
        <s v="101917600"/>
        <s v="103842376"/>
        <s v="91001874"/>
        <s v="101584631"/>
        <s v="103845937"/>
        <s v="103848588"/>
        <s v="103830768"/>
        <s v="103415632"/>
        <s v="103832238"/>
        <s v="103647896"/>
        <s v="103671258"/>
        <s v="102442135"/>
        <s v="103670555"/>
        <s v="103834361"/>
        <s v="103648743"/>
        <s v="103775089"/>
        <s v="103756750"/>
        <s v="103784220"/>
        <s v="103744983"/>
        <s v="103633388"/>
        <s v="103721541"/>
        <s v="103729472"/>
        <s v="103719727"/>
        <s v="92406537"/>
        <s v="103531883"/>
        <s v="100511411"/>
        <s v="92399706"/>
        <s v="103714062"/>
        <s v="92408008"/>
        <s v="103713756"/>
        <s v="103742903"/>
        <s v="103671342"/>
        <s v="103661537"/>
        <s v="103675481"/>
        <s v="100330605"/>
        <s v="92428108"/>
        <s v="92403555"/>
        <s v="103671613"/>
        <s v="92406996"/>
        <s v="103673291"/>
        <s v="103645978"/>
        <s v="103633978"/>
        <s v="92398060"/>
        <s v="93597721"/>
        <s v="103656438"/>
        <s v="103642399"/>
        <s v="103646927"/>
        <s v="103642513"/>
        <s v="91001822"/>
        <s v="92399337"/>
        <s v="103657666"/>
        <s v="103660737"/>
        <s v="103648068"/>
        <s v="103631693"/>
        <s v="103616253"/>
        <s v="92404856"/>
        <s v="100481133"/>
        <s v="103632517"/>
        <s v="100432455"/>
        <s v="103634169"/>
        <s v="103634472"/>
        <s v="103634611"/>
        <s v="103632652"/>
        <s v="103642113"/>
        <s v="98199321"/>
        <s v="92397711"/>
        <s v="103645755"/>
        <s v="92410153"/>
        <s v="92406326"/>
        <s v="100217721"/>
        <s v="103646324"/>
        <s v="103646387"/>
        <s v="101009517"/>
        <s v="101623615"/>
        <s v="101346110"/>
        <s v="102180966"/>
        <s v="103656728"/>
        <s v="92403591"/>
        <s v="92400865"/>
        <s v="103617461"/>
        <s v="103630373"/>
        <s v="103620891"/>
        <s v="103622461"/>
        <s v="103616594"/>
        <s v="103610315"/>
        <s v="92400627"/>
        <s v="103630617"/>
        <s v="92407337"/>
        <s v="92422856"/>
        <s v="93832355"/>
        <s v="103632699"/>
        <s v="103631041"/>
        <s v="103633773"/>
        <s v="92398362"/>
        <s v="103616758"/>
        <s v="98742444"/>
        <s v="103629013"/>
        <s v="92408025"/>
        <s v="103616558"/>
        <s v="92397362"/>
        <s v="103591723"/>
        <s v="92401316"/>
        <s v="103617256"/>
        <s v="103616653"/>
        <s v="103620663"/>
        <s v="103621182"/>
        <s v="103620632"/>
        <s v="92397707"/>
        <s v="103615698"/>
        <s v="90999799"/>
        <s v="103437674"/>
        <s v="101466987"/>
        <s v="103615908"/>
        <s v="103617827"/>
        <s v="103616136"/>
        <s v="103616580"/>
        <s v="103615205"/>
        <s v="92409190"/>
        <s v="103616562"/>
        <s v="103616432"/>
        <s v="103620924"/>
        <s v="92404476"/>
        <s v="92406536"/>
        <s v="103620484"/>
        <s v="103631902"/>
        <s v="93912121"/>
        <s v="103634777"/>
        <s v="103576190"/>
        <s v="103437947"/>
        <s v="103671316"/>
        <s v="103100862"/>
        <s v="99502446"/>
        <s v="102505094"/>
        <s v="102928395"/>
        <s v="103124476"/>
        <s v="102945078"/>
        <s v="102965997"/>
        <s v="103081456"/>
        <s v="103057654"/>
        <s v="103058741"/>
        <s v="102991728"/>
        <s v="102951000"/>
        <s v="102904196"/>
        <s v="102905570"/>
        <s v="102735123"/>
        <s v="102637104"/>
        <s v="102618733"/>
        <s v="102600071"/>
        <s v="102549877"/>
        <s v="92404764"/>
        <s v="102502922"/>
        <s v="101472623"/>
        <s v="102494314"/>
        <s v="102424724"/>
        <s v="98700258"/>
        <s v="102395824"/>
        <s v="102381381"/>
        <s v="92403624"/>
        <s v="101641502"/>
        <s v="101987055"/>
        <s v="98635975"/>
        <s v="92401119"/>
        <s v="102281183"/>
        <s v="98711501"/>
        <s v="102232596"/>
        <s v="102220776"/>
        <s v="102176002"/>
        <s v="102193096"/>
        <s v="102113813"/>
        <s v="0"/>
        <s v="102076880"/>
        <s v="102078501"/>
        <s v="102015200"/>
        <s v="101987118"/>
        <s v="97412230"/>
        <s v="101319151"/>
        <s v="101923321"/>
        <s v="101952731"/>
        <s v="92407429"/>
        <s v="102003092"/>
        <s v="101705197"/>
        <s v="101293683"/>
        <s v="101876625"/>
        <s v="92404145"/>
        <s v="101808480"/>
        <s v="101823588"/>
        <s v="101770162"/>
        <s v="101624260"/>
        <s v="101705220"/>
        <s v="101705253"/>
        <s v="101680942"/>
        <s v="101467478"/>
        <s v="101584188"/>
        <s v="101615228"/>
        <s v="101498463"/>
        <s v="101522662"/>
        <s v="101467474"/>
        <s v="92400340"/>
        <s v="100995935"/>
        <s v="101424152"/>
        <s v="101413931"/>
        <s v="101467913"/>
        <s v="101428000"/>
        <s v="101369992"/>
        <s v="101314200"/>
        <s v="101009393"/>
        <s v="101364406"/>
        <s v="101302751"/>
        <s v="101283226"/>
        <s v="101220865"/>
        <s v="101145972"/>
        <s v="101196299"/>
        <s v="101110183"/>
        <s v="101104408"/>
        <s v="101104467"/>
        <s v="101032092"/>
        <s v="100436027"/>
        <s v="101036635"/>
        <s v="101011549"/>
        <s v="100962157"/>
        <s v="100830227"/>
        <s v="100833648"/>
        <s v="100793790"/>
        <s v="100788006"/>
        <s v="100788004"/>
        <s v="100737696"/>
        <s v="100599306"/>
        <s v="100736346"/>
        <s v="100668746"/>
        <s v="100634537"/>
        <s v="100582839"/>
        <s v="100537423"/>
        <s v="100480073"/>
        <s v="100482907"/>
        <s v="100394867"/>
        <s v="100279807"/>
        <s v="100355498"/>
        <s v="100341519"/>
        <s v="100339877"/>
        <s v="100329803"/>
        <s v="100272691"/>
        <s v="100232514"/>
        <s v="100245350"/>
        <s v="99019997"/>
        <s v="97223180"/>
        <s v="98828137"/>
        <s v="98340991"/>
        <s v="92424528"/>
        <s v="92410222"/>
        <s v="98213478"/>
        <s v="98213878"/>
        <s v="97560994"/>
        <s v="97863424"/>
        <s v="97739424"/>
        <s v="97341155"/>
        <s v="97266884"/>
        <s v="92401070"/>
        <s v="96731103"/>
        <s v="94291400"/>
        <s v="94195497"/>
        <s v="94028251"/>
        <s v="92398068"/>
        <s v="92402171"/>
        <s v="79989586"/>
        <s v="93573185"/>
        <s v="93573388"/>
        <s v="93306019"/>
        <s v="92407789"/>
        <s v="93307928"/>
        <s v="93266623"/>
        <s v="93234862"/>
        <s v="1301022"/>
        <s v="1297716"/>
        <s v="1297177"/>
        <s v="1291072"/>
        <s v="1291327"/>
        <s v="1289465"/>
        <s v="1288389"/>
        <s v="1150674"/>
      </sharedItems>
    </cacheField>
    <cacheField name="CLIENT SEGMENT" numFmtId="0">
      <sharedItems/>
    </cacheField>
    <cacheField name="SALES ASSOCIATE" numFmtId="0">
      <sharedItems count="4">
        <s v="SHARIF Maaz"/>
        <s v="TAHHAN Riham"/>
        <s v="OMARI Asma"/>
        <s v="ALOTAIBI Reem"/>
      </sharedItems>
    </cacheField>
    <cacheField name="COMMENTS" numFmtId="0">
      <sharedItems/>
    </cacheField>
    <cacheField name="Avaliblity" numFmtId="0">
      <sharedItems containsNonDate="0" containsString="0" containsBlank="1"/>
    </cacheField>
  </cacheFields>
  <extLst>
    <ext xmlns:x14="http://schemas.microsoft.com/office/spreadsheetml/2009/9/main" uri="{725AE2AE-9491-48be-B2B4-4EB974FC3084}">
      <x14:pivotCacheDefinition pivotCacheId="1581858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4">
  <r>
    <n v="1"/>
    <n v="1"/>
    <s v=""/>
    <x v="0"/>
    <m/>
    <d v="2024-09-28T00:00:00"/>
    <d v="2025-01-22T00:00:00"/>
    <x v="0"/>
    <x v="0"/>
    <x v="0"/>
    <x v="0"/>
    <s v="Middle East (UAE)"/>
    <x v="0"/>
    <x v="0"/>
    <s v="117,000 AED"/>
    <n v="117000"/>
    <n v="101624260"/>
    <s v="NA"/>
    <s v="Open Sale"/>
    <m/>
    <s v=""/>
    <s v="Paid Deposit - Full Payment"/>
    <m/>
    <x v="0"/>
    <s v="291 Days"/>
    <s v=""/>
    <s v=""/>
    <s v="175"/>
    <s v="Client from Estinia very interested in the Dula time blue dial/ met with him in the boutique and he paid deposit."/>
    <s v="on the way to MOE with ODN 7054069640 – ETA April 28th / 29th"/>
    <s v="Client appointment:9/7/2025"/>
    <m/>
    <s v="January 2025"/>
    <s v="January"/>
    <n v="117000"/>
    <n v="117000"/>
    <n v="117000"/>
    <m/>
  </r>
  <r>
    <n v="2"/>
    <s v=""/>
    <s v=""/>
    <x v="0"/>
    <m/>
    <d v="2024-10-09T00:00:00"/>
    <d v="2025-01-25T00:00:00"/>
    <x v="0"/>
    <x v="0"/>
    <x v="1"/>
    <x v="0"/>
    <s v="Middle East (UAE)"/>
    <x v="1"/>
    <x v="1"/>
    <s v="135,000 AED"/>
    <n v="135000"/>
    <n v="101424152"/>
    <s v="NA"/>
    <s v="Sold"/>
    <m/>
    <s v="April"/>
    <s v="Full Payment - By link"/>
    <n v="6100098091"/>
    <x v="1"/>
    <s v=""/>
    <s v=""/>
    <s v=""/>
    <s v=""/>
    <s v="The client is a collector, he has a Patrimony and an old Overseas Model, would like to purchase this Overseas Chronograph."/>
    <s v="Sold phone sale"/>
    <m/>
    <m/>
    <s v="January 2025"/>
    <s v=""/>
    <n v="135000"/>
    <n v="135000"/>
    <n v="135000"/>
    <m/>
  </r>
  <r>
    <n v="3"/>
    <s v=""/>
    <s v=""/>
    <x v="0"/>
    <m/>
    <d v="2025-01-30T00:00:00"/>
    <d v="2025-01-31T00:00:00"/>
    <x v="1"/>
    <x v="1"/>
    <x v="2"/>
    <x v="1"/>
    <s v="Middle East (UAE)"/>
    <x v="2"/>
    <x v="2"/>
    <s v="279,000 AED"/>
    <n v="279000"/>
    <n v="101584631"/>
    <s v="NA"/>
    <s v="Transferred"/>
    <m/>
    <s v=""/>
    <m/>
    <m/>
    <x v="0"/>
    <s v=""/>
    <s v=""/>
    <s v=""/>
    <s v=""/>
    <m/>
    <s v="One confirmed in MOE by Jack"/>
    <s v=" Client posponed until 15th of April "/>
    <m/>
    <s v="January 2025"/>
    <s v=""/>
    <n v="279000"/>
    <n v="279000"/>
    <n v="279000"/>
    <m/>
  </r>
  <r>
    <n v="4"/>
    <s v=""/>
    <s v=""/>
    <x v="0"/>
    <m/>
    <d v="2025-02-04T00:00:00"/>
    <d v="2025-02-04T00:00:00"/>
    <x v="1"/>
    <x v="1"/>
    <x v="2"/>
    <x v="2"/>
    <s v="Middle East (UAE)"/>
    <x v="3"/>
    <x v="3"/>
    <s v="48,000 AED"/>
    <n v="48000"/>
    <n v="103936063"/>
    <s v="NA"/>
    <s v="Transferred"/>
    <m/>
    <s v=""/>
    <m/>
    <m/>
    <x v="0"/>
    <s v=""/>
    <s v=""/>
    <s v=""/>
    <s v=""/>
    <s v="Client coming from Saudi arabia Payment link sent but the client did not make the payment yet."/>
    <s v="Available in ecom location"/>
    <s v="Client coming from Saudi arabia Payment link sent but the client did not make the payment yet due to bank issues) will come to UAE in the next coming days and will let me know how he would like tp proceed with it (Most probably will be btq purchase payment half cash half crdit card)."/>
    <m/>
    <s v="February 2025"/>
    <s v=""/>
    <n v="48000"/>
    <n v="48000"/>
    <n v="48000"/>
    <m/>
  </r>
  <r>
    <n v="5"/>
    <n v="2"/>
    <s v=""/>
    <x v="1"/>
    <m/>
    <d v="2025-04-02T00:00:00"/>
    <d v="2025-04-02T00:00:00"/>
    <x v="0"/>
    <x v="0"/>
    <x v="2"/>
    <x v="2"/>
    <s v="Middle East (UAE)"/>
    <x v="4"/>
    <x v="4"/>
    <s v="229,000 AED"/>
    <n v="229000"/>
    <m/>
    <s v="Piece is confirmed with boutique team? Latest update: client cancelled his trip (he is still interested but we informed him to pay deposit should he wish to proceed)"/>
    <s v="Open Sale"/>
    <m/>
    <s v=""/>
    <m/>
    <m/>
    <x v="0"/>
    <s v="105 Days"/>
    <s v=""/>
    <s v=""/>
    <s v="105"/>
    <s v="Latest update: client cancelled his trip (he is still interested but we informed him to pay deposit should he wish to proceed) (Piece not reserved)"/>
    <s v="No reservation"/>
    <s v="Latest update: client cancelled his trip (he is still interested but we informed him to pay deposit should he wish to proceed) (Piece not reserved)"/>
    <m/>
    <s v="April 2025"/>
    <s v=""/>
    <n v="229000"/>
    <n v="229000"/>
    <n v="229000"/>
    <m/>
  </r>
  <r>
    <m/>
    <s v=""/>
    <s v=""/>
    <x v="2"/>
    <m/>
    <m/>
    <m/>
    <x v="0"/>
    <x v="0"/>
    <x v="2"/>
    <x v="0"/>
    <s v="Middle East (KSA)"/>
    <x v="5"/>
    <x v="5"/>
    <s v="62,500 AED"/>
    <n v="62500"/>
    <n v="101952213"/>
    <m/>
    <s v="Sold"/>
    <m/>
    <s v="July"/>
    <s v="Full payment - At Boutique"/>
    <s v="T-129323469"/>
    <x v="2"/>
    <s v=""/>
    <s v=""/>
    <s v=""/>
    <s v=""/>
    <m/>
    <m/>
    <m/>
    <m/>
    <s v="January 1900"/>
    <s v=""/>
    <n v="62500"/>
    <n v="62500"/>
    <n v="62500"/>
    <m/>
  </r>
  <r>
    <m/>
    <s v=""/>
    <s v=""/>
    <x v="2"/>
    <s v="RQS-UAE-119016"/>
    <m/>
    <m/>
    <x v="0"/>
    <x v="0"/>
    <x v="3"/>
    <x v="0"/>
    <s v="Middle East (UAE)"/>
    <x v="6"/>
    <x v="6"/>
    <s v="117,000 AED"/>
    <n v="117000"/>
    <n v="102442135"/>
    <m/>
    <s v="Sold"/>
    <m/>
    <s v="June"/>
    <s v="Full payment - At Boutique"/>
    <s v="T-129129869"/>
    <x v="0"/>
    <s v=""/>
    <s v=""/>
    <s v=""/>
    <s v=""/>
    <s v="Sold"/>
    <s v="Sold"/>
    <m/>
    <m/>
    <s v="January 1900"/>
    <s v=""/>
    <n v="117000"/>
    <n v="117000"/>
    <n v="117000"/>
    <m/>
  </r>
  <r>
    <m/>
    <s v=""/>
    <s v=""/>
    <x v="3"/>
    <s v="RQS-UAE-119762"/>
    <s v="25/3/2025"/>
    <m/>
    <x v="1"/>
    <x v="0"/>
    <x v="2"/>
    <x v="0"/>
    <s v="Middle East (UAE)"/>
    <x v="7"/>
    <x v="1"/>
    <s v="135,000 AED"/>
    <n v="135000"/>
    <n v="104853450"/>
    <m/>
    <s v="Sold"/>
    <m/>
    <s v="June"/>
    <s v="Full payment - At Boutique"/>
    <s v="T-128759754"/>
    <x v="3"/>
    <s v=""/>
    <s v=""/>
    <s v=""/>
    <s v=""/>
    <m/>
    <s v="Timepiece is available and the client will visit the btq on (6/13/2025) at 2pm to pick up the timepiece"/>
    <m/>
    <m/>
    <s v="January 1900"/>
    <s v=""/>
    <n v="135000"/>
    <n v="135000"/>
    <n v="135000"/>
    <m/>
  </r>
  <r>
    <n v="14"/>
    <s v=""/>
    <n v="1"/>
    <x v="4"/>
    <s v="RQS-UAE-117464"/>
    <d v="2024-11-14T00:00:00"/>
    <d v="2025-04-05T00:00:00"/>
    <x v="0"/>
    <x v="0"/>
    <x v="4"/>
    <x v="2"/>
    <s v="Middle East (UAE)"/>
    <x v="8"/>
    <x v="4"/>
    <s v="94,500 AED"/>
    <n v="94500"/>
    <n v="98700258"/>
    <m/>
    <s v="Pending Allocation"/>
    <m/>
    <s v=""/>
    <s v="Full Payment - By link"/>
    <m/>
    <x v="0"/>
    <s v=""/>
    <s v="244 Days"/>
    <n v="102"/>
    <s v=""/>
    <s v="No one confirmed, the client "/>
    <m/>
    <s v="Willing to pay anytime "/>
    <m/>
    <s v="April 2025"/>
    <s v=""/>
    <n v="94500"/>
    <n v="94500"/>
    <n v="94500"/>
    <m/>
  </r>
  <r>
    <n v="15"/>
    <s v=""/>
    <s v=""/>
    <x v="4"/>
    <m/>
    <d v="2024-11-14T00:00:00"/>
    <d v="2025-04-05T00:00:00"/>
    <x v="0"/>
    <x v="0"/>
    <x v="2"/>
    <x v="0"/>
    <s v="Middle East (UAE)"/>
    <x v="5"/>
    <x v="5"/>
    <s v="62,500 AED"/>
    <n v="62500"/>
    <n v="105045200"/>
    <s v="NA"/>
    <s v="Sold"/>
    <m/>
    <s v=""/>
    <s v="Paid Deposit"/>
    <m/>
    <x v="0"/>
    <s v=""/>
    <s v=""/>
    <s v=""/>
    <s v=""/>
    <s v="The client is waiting for the allocation "/>
    <m/>
    <s v="Deposit received "/>
    <m/>
    <s v="April 2025"/>
    <s v=""/>
    <n v="62500"/>
    <n v="62500"/>
    <n v="62500"/>
    <m/>
  </r>
  <r>
    <n v="16"/>
    <s v=""/>
    <s v=""/>
    <x v="4"/>
    <s v=""/>
    <d v="2024-11-14T00:00:00"/>
    <d v="2025-04-08T00:00:00"/>
    <x v="0"/>
    <x v="0"/>
    <x v="4"/>
    <x v="1"/>
    <s v="Middle East (UAE)"/>
    <x v="5"/>
    <x v="5"/>
    <s v="62,500 AED"/>
    <n v="62500"/>
    <n v="105115716"/>
    <s v="NA"/>
    <s v="Closed Sale"/>
    <m/>
    <s v=""/>
    <s v="Full Payment - By link"/>
    <m/>
    <x v="0"/>
    <s v=""/>
    <s v=""/>
    <s v=""/>
    <s v=""/>
    <s v="The client is waiting for the allocation "/>
    <m/>
    <s v="Lead today received "/>
    <m/>
    <s v="April 2025"/>
    <s v=""/>
    <n v="62500"/>
    <n v="62500"/>
    <n v="62500"/>
    <m/>
  </r>
  <r>
    <n v="17"/>
    <s v=""/>
    <s v=""/>
    <x v="4"/>
    <s v="RQS-UAE-116983"/>
    <d v="2024-08-15T00:00:00"/>
    <d v="2024-08-11T00:00:00"/>
    <x v="0"/>
    <x v="1"/>
    <x v="2"/>
    <x v="2"/>
    <s v="Middle East (UAE)"/>
    <x v="9"/>
    <x v="7"/>
    <s v="299,000 AED"/>
    <n v="299000"/>
    <n v="101110183"/>
    <s v="NA"/>
    <s v="Closed Sale"/>
    <m/>
    <s v=""/>
    <s v="Full Payment - Bank Transfer"/>
    <m/>
    <x v="0"/>
    <s v="280 Days"/>
    <s v=""/>
    <s v=""/>
    <s v=""/>
    <s v="The bank information was shared  "/>
    <s v="E-com"/>
    <m/>
    <m/>
    <s v="August 2024"/>
    <s v=""/>
    <n v="299000"/>
    <n v="299000"/>
    <n v="299000"/>
    <m/>
  </r>
  <r>
    <m/>
    <s v=""/>
    <s v=""/>
    <x v="4"/>
    <m/>
    <d v="2025-06-13T00:00:00"/>
    <d v="2025-06-13T00:00:00"/>
    <x v="0"/>
    <x v="0"/>
    <x v="5"/>
    <x v="2"/>
    <s v="Middle East (UAE)"/>
    <x v="10"/>
    <x v="8"/>
    <s v="166,000 AED"/>
    <n v="166000"/>
    <n v="106652874"/>
    <m/>
    <s v="Sold"/>
    <m/>
    <s v="June"/>
    <s v="Full Payment - By link"/>
    <s v="T-128709881"/>
    <x v="0"/>
    <s v=""/>
    <s v=""/>
    <s v=""/>
    <s v=""/>
    <m/>
    <s v="Ecom "/>
    <s v="Paid"/>
    <m/>
    <s v="June 2025"/>
    <s v=""/>
    <n v="166000"/>
    <n v="166000"/>
    <n v="166000"/>
    <m/>
  </r>
  <r>
    <n v="17"/>
    <s v=""/>
    <s v=""/>
    <x v="4"/>
    <m/>
    <d v="2025-10-07T00:00:00"/>
    <d v="2025-10-07T00:00:00"/>
    <x v="1"/>
    <x v="0"/>
    <x v="2"/>
    <x v="3"/>
    <s v="Middle East (UAE)"/>
    <x v="7"/>
    <x v="1"/>
    <s v="135,000 AED"/>
    <n v="135000"/>
    <n v="92407646"/>
    <m/>
    <s v="Sold"/>
    <m/>
    <s v="June"/>
    <s v="Full payment - At Boutique"/>
    <s v="T-129070481"/>
    <x v="0"/>
    <s v=""/>
    <s v=""/>
    <s v=""/>
    <s v=""/>
    <m/>
    <m/>
    <m/>
    <m/>
    <s v="October 2025"/>
    <s v=""/>
    <n v="135000"/>
    <n v="135000"/>
    <n v="135000"/>
    <m/>
  </r>
  <r>
    <n v="18"/>
    <s v=""/>
    <n v="2"/>
    <x v="4"/>
    <s v="RQS-UAE-118906"/>
    <d v="2025-01-21T00:00:00"/>
    <d v="2025-01-18T00:00:00"/>
    <x v="0"/>
    <x v="0"/>
    <x v="4"/>
    <x v="1"/>
    <s v="Middle East (UAE)"/>
    <x v="11"/>
    <x v="9"/>
    <s v="192,000 AED"/>
    <n v="192000"/>
    <n v="103531883"/>
    <s v="NA"/>
    <s v="Pending Allocation"/>
    <m/>
    <s v=""/>
    <m/>
    <m/>
    <x v="0"/>
    <s v=""/>
    <s v="176 Days"/>
    <n v="179"/>
    <s v=""/>
    <s v="Aiming for the 222 "/>
    <m/>
    <s v="Willing to pay upon allocation"/>
    <m/>
    <s v="January 2025"/>
    <s v=""/>
    <n v="192000"/>
    <n v="192000"/>
    <n v="192000"/>
    <m/>
  </r>
  <r>
    <n v="19"/>
    <s v=""/>
    <s v=""/>
    <x v="4"/>
    <m/>
    <d v="2025-04-10T00:00:00"/>
    <d v="2025-04-10T00:00:00"/>
    <x v="0"/>
    <x v="1"/>
    <x v="1"/>
    <x v="2"/>
    <s v="Middle East (UAE)"/>
    <x v="10"/>
    <x v="8"/>
    <s v="166,000 AED"/>
    <n v="166000"/>
    <n v="103713756"/>
    <s v="NA"/>
    <s v="Sold"/>
    <m/>
    <s v=""/>
    <s v="Full payment - At Boutique"/>
    <m/>
    <x v="0"/>
    <s v=""/>
    <s v=""/>
    <s v=""/>
    <s v=""/>
    <s v="The client is scheduled to visit the boutique today at 8 PM to try the Moonphase. He has also hinted at wanting to persuade his brothers to transition from Patek to Vacheron Constantin, particularly impressed by the distinctiveness of the Overseas Moonphase and the 222. The exhibition has completely transformed his perception of Vacheron Constantin. | current collection : Patek Philippe Nautilus - Patek Philippe Aquanaut"/>
    <m/>
    <m/>
    <m/>
    <s v="April 2025"/>
    <s v=""/>
    <n v="166000"/>
    <n v="166000"/>
    <n v="166000"/>
    <m/>
  </r>
  <r>
    <n v="20"/>
    <s v=""/>
    <s v=""/>
    <x v="4"/>
    <d v="2025-04-16T00:00:00"/>
    <d v="2025-04-16T00:00:00"/>
    <d v="2025-04-16T00:00:00"/>
    <x v="0"/>
    <x v="1"/>
    <x v="2"/>
    <x v="2"/>
    <s v="Middle East (UAE)"/>
    <x v="10"/>
    <x v="8"/>
    <s v="166,000 AED"/>
    <n v="166000"/>
    <n v="103591723"/>
    <s v="NA"/>
    <s v="Sold"/>
    <m/>
    <s v="June"/>
    <s v="Full Payment - By link"/>
    <m/>
    <x v="0"/>
    <s v=""/>
    <s v=""/>
    <s v=""/>
    <s v=""/>
    <s v="The client expressed strong interest in the timepiece. He mentioned that he is awaiting the takeover of another company, after which he plans to celebrate."/>
    <s v="Available in ecom location"/>
    <s v="The client is is finalizing the purchase  and will update before the first of May"/>
    <m/>
    <s v="April 2025"/>
    <s v=""/>
    <n v="166000"/>
    <n v="166000"/>
    <n v="166000"/>
    <m/>
  </r>
  <r>
    <n v="21"/>
    <s v=""/>
    <s v=""/>
    <x v="0"/>
    <s v="RQS-UAE-119970"/>
    <d v="2025-03-12T00:00:00"/>
    <d v="2025-03-12T00:00:00"/>
    <x v="0"/>
    <x v="1"/>
    <x v="1"/>
    <x v="0"/>
    <s v="Middle East (UAE)"/>
    <x v="10"/>
    <x v="8"/>
    <s v="166,000 AED"/>
    <n v="166000"/>
    <n v="104559752"/>
    <s v="NA"/>
    <s v="Sold"/>
    <m/>
    <s v=""/>
    <s v="Full Payment - Bank Transfer"/>
    <m/>
    <x v="0"/>
    <s v=""/>
    <s v=""/>
    <s v=""/>
    <s v=""/>
    <s v="Client initially interested in the 222 and the dual time blue switched his interest to the Retrograde"/>
    <s v="Available in ecom location"/>
    <s v="Order placed in Extend and the client will pay on Friday."/>
    <m/>
    <s v="March 2025"/>
    <s v=""/>
    <n v="166000"/>
    <n v="166000"/>
    <n v="166000"/>
    <m/>
  </r>
  <r>
    <n v="22"/>
    <s v=""/>
    <s v=""/>
    <x v="4"/>
    <s v="RQS-UAE-119984"/>
    <d v="2025-04-25T00:00:00"/>
    <d v="2025-04-25T00:00:00"/>
    <x v="1"/>
    <x v="0"/>
    <x v="1"/>
    <x v="2"/>
    <s v="Middle East (UAE)"/>
    <x v="12"/>
    <x v="10"/>
    <s v="286,000 AED"/>
    <n v="286000"/>
    <n v="105366145"/>
    <s v="NA"/>
    <s v="Sold"/>
    <m/>
    <s v="April"/>
    <m/>
    <s v="T-127226576"/>
    <x v="4"/>
    <s v=""/>
    <s v=""/>
    <s v=""/>
    <s v=""/>
    <s v="The client has agreed to purchase the Overseas Dual Time Green, and the arrangement has been coordinated with Firas at suite 1755."/>
    <s v="Will be moved to Suite 1755."/>
    <s v="The client will do the payment Sunday  "/>
    <m/>
    <s v="April 2025"/>
    <s v=""/>
    <n v="286000"/>
    <n v="286000"/>
    <n v="286000"/>
    <m/>
  </r>
  <r>
    <n v="23"/>
    <s v=""/>
    <s v=""/>
    <x v="4"/>
    <m/>
    <d v="2025-05-03T00:00:00"/>
    <d v="2025-05-03T00:00:00"/>
    <x v="1"/>
    <x v="1"/>
    <x v="1"/>
    <x v="0"/>
    <s v="Middle East (UAE)"/>
    <x v="3"/>
    <x v="3"/>
    <s v="48,000 AED"/>
    <n v="48000"/>
    <n v="100576190"/>
    <s v="NA"/>
    <s v="Sold"/>
    <m/>
    <s v="May"/>
    <s v="Full Payment - By link"/>
    <n v="6100102079"/>
    <x v="5"/>
    <s v=""/>
    <s v=""/>
    <s v=""/>
    <s v=""/>
    <s v="The client expressed interest in the Fiftysix and requested to have the timepiece delivered to his home."/>
    <m/>
    <m/>
    <m/>
    <s v="May 2025"/>
    <s v=""/>
    <n v="48000"/>
    <n v="48000"/>
    <n v="48000"/>
    <m/>
  </r>
  <r>
    <n v="24"/>
    <n v="3"/>
    <s v=""/>
    <x v="4"/>
    <s v="RQS-UAE-119995"/>
    <d v="2025-04-12T00:00:00"/>
    <d v="2025-04-12T00:00:00"/>
    <x v="1"/>
    <x v="1"/>
    <x v="2"/>
    <x v="2"/>
    <s v="Middle East (UAE)"/>
    <x v="13"/>
    <x v="11"/>
    <s v="229,000 AED"/>
    <n v="229000"/>
    <n v="105371442"/>
    <s v="Please confirm client goes ahead to Anais &amp; Rowel, so piece can be ordered from CH, estimated time: 7 days"/>
    <s v="Open Sale"/>
    <m/>
    <s v=""/>
    <m/>
    <m/>
    <x v="0"/>
    <s v="95 Days"/>
    <s v=""/>
    <s v=""/>
    <s v="95"/>
    <s v="As per the client &quot;I am on it. _x000a_Approx a week _x000a_I had told you that I’d do it by 15th May rest by May last week June first week._x000a_But I’ll try and do it in the coming week itself &quot;   a"/>
    <s v="The timpiease available at the BTQ Patty approved for deposit "/>
    <s v="The client is facing logistc issue in getting the watch back to India"/>
    <m/>
    <s v="April 2025"/>
    <s v=""/>
    <n v="229000"/>
    <n v="229000"/>
    <n v="229000"/>
    <m/>
  </r>
  <r>
    <n v="25"/>
    <s v=""/>
    <n v="3"/>
    <x v="4"/>
    <s v="RQS-UAE-117655"/>
    <d v="2024-12-19T00:00:00"/>
    <d v="2025-05-03T00:00:00"/>
    <x v="0"/>
    <x v="0"/>
    <x v="0"/>
    <x v="2"/>
    <s v="Middle East (UAE)"/>
    <x v="14"/>
    <x v="12"/>
    <s v="117,000 AED"/>
    <n v="117000"/>
    <n v="102928395"/>
    <s v="NA"/>
    <s v="Pending Allocation"/>
    <m/>
    <m/>
    <s v="Paid Deposit"/>
    <m/>
    <x v="0"/>
    <s v=""/>
    <s v="209 Days"/>
    <n v="74"/>
    <s v=""/>
    <s v="I reached out to the client to confirm his interest, and according to him, he is still interested."/>
    <m/>
    <m/>
    <m/>
    <s v="May 2025"/>
    <s v=""/>
    <n v="117000"/>
    <n v="117000"/>
    <n v="117000"/>
    <m/>
  </r>
  <r>
    <n v="26"/>
    <s v=""/>
    <n v="4"/>
    <x v="4"/>
    <s v="RQS-UAE-117496"/>
    <d v="2024-11-20T00:00:00"/>
    <d v="2025-05-03T00:00:00"/>
    <x v="0"/>
    <x v="0"/>
    <x v="4"/>
    <x v="2"/>
    <s v="Middle East (UAE)"/>
    <x v="0"/>
    <x v="0"/>
    <s v="117,000 AED"/>
    <n v="117000"/>
    <n v="101472623"/>
    <s v="NA"/>
    <s v="Pending Allocation"/>
    <m/>
    <s v="June"/>
    <s v="Full Payment - By link"/>
    <m/>
    <x v="6"/>
    <s v=""/>
    <s v="238 Days"/>
    <n v="74"/>
    <s v=""/>
    <s v="I reached out to the client to confirm his interest, and according to him, he is still interested."/>
    <m/>
    <m/>
    <m/>
    <s v="May 2025"/>
    <s v=""/>
    <n v="117000"/>
    <n v="117000"/>
    <n v="117000"/>
    <m/>
  </r>
  <r>
    <n v="27"/>
    <s v=""/>
    <s v=""/>
    <x v="4"/>
    <s v="RQS-UAE-120048"/>
    <d v="2025-04-16T00:00:00"/>
    <d v="2025-05-07T00:00:00"/>
    <x v="0"/>
    <x v="0"/>
    <x v="2"/>
    <x v="1"/>
    <s v="Middle East (UAE)"/>
    <x v="15"/>
    <x v="13"/>
    <s v="172,000 AED"/>
    <n v="172000"/>
    <n v="105370532"/>
    <s v="Please confirm client goes ahead to Anais &amp; Rowel, so piece can be ordered from CH, estimated time: 7 days"/>
    <s v="Closed Sale"/>
    <m/>
    <s v=""/>
    <m/>
    <m/>
    <x v="0"/>
    <s v="69 Days"/>
    <s v=""/>
    <s v=""/>
    <s v=""/>
    <s v="He has confirmed an appointment to visit the Mall of the Emirates boutique on 16th May 2025 at 6:00 PM to view the piece and proceed with the purchase if it suits him._x000a_•_x0009_Internal Reference: 4010T/000G-B740"/>
    <s v="The client keeps on holding"/>
    <m/>
    <m/>
    <s v="May 2025"/>
    <s v=""/>
    <n v="172000"/>
    <n v="172000"/>
    <n v="172000"/>
    <s v="updatejr "/>
  </r>
  <r>
    <n v="28"/>
    <s v=""/>
    <s v=""/>
    <x v="4"/>
    <s v="RQS-UAE-120159"/>
    <d v="2025-05-13T00:00:00"/>
    <d v="2025-05-13T00:00:00"/>
    <x v="0"/>
    <x v="0"/>
    <x v="6"/>
    <x v="2"/>
    <s v="Middle East (UAE)"/>
    <x v="16"/>
    <x v="14"/>
    <s v="104,000 AED"/>
    <n v="104000"/>
    <n v="105904737"/>
    <s v="NA"/>
    <s v="Closed Sale"/>
    <m/>
    <m/>
    <s v="Full Payment - By link"/>
    <m/>
    <x v="0"/>
    <s v="18 Days"/>
    <s v=""/>
    <s v=""/>
    <s v=""/>
    <m/>
    <m/>
    <m/>
    <m/>
    <s v="May 2025"/>
    <s v=""/>
    <n v="104000"/>
    <n v="104000"/>
    <n v="104000"/>
    <m/>
  </r>
  <r>
    <n v="29"/>
    <s v=""/>
    <n v="5"/>
    <x v="4"/>
    <s v="RQS-UAE-120160"/>
    <d v="2025-05-13T00:00:00"/>
    <d v="2025-05-13T00:00:00"/>
    <x v="0"/>
    <x v="1"/>
    <x v="2"/>
    <x v="1"/>
    <s v="Middle East (UAE)"/>
    <x v="10"/>
    <x v="8"/>
    <s v="166,000 AED"/>
    <n v="166000"/>
    <n v="105904737"/>
    <s v="NA"/>
    <s v="Pending Allocation"/>
    <m/>
    <s v="June"/>
    <s v="Paid Deposit"/>
    <m/>
    <x v="0"/>
    <s v=""/>
    <s v="64 Days"/>
    <n v="64"/>
    <s v=""/>
    <s v="The client has paid the deposit, and the GC was initiated for his wife."/>
    <s v="Maya is handling the allocation."/>
    <s v="Confirmed "/>
    <m/>
    <s v="May 2025"/>
    <s v=""/>
    <n v="166000"/>
    <n v="166000"/>
    <n v="166000"/>
    <m/>
  </r>
  <r>
    <n v="30"/>
    <s v=""/>
    <s v=""/>
    <x v="4"/>
    <s v="RQS-UAE-120244"/>
    <d v="2024-05-12T00:00:00"/>
    <d v="2025-04-12T00:00:00"/>
    <x v="0"/>
    <x v="0"/>
    <x v="0"/>
    <x v="2"/>
    <s v="Middle East (UAE)"/>
    <x v="14"/>
    <x v="12"/>
    <s v="117,000 AED"/>
    <n v="117000"/>
    <n v="105904737"/>
    <s v="NA"/>
    <s v="Closed Sale"/>
    <m/>
    <s v="June"/>
    <m/>
    <m/>
    <x v="0"/>
    <s v="408 Days"/>
    <s v=""/>
    <s v=""/>
    <s v=""/>
    <m/>
    <m/>
    <s v="Confirmed "/>
    <m/>
    <s v="April 2025"/>
    <s v=""/>
    <n v="117000"/>
    <n v="117000"/>
    <n v="117000"/>
    <m/>
  </r>
  <r>
    <n v="31"/>
    <s v=""/>
    <n v="6"/>
    <x v="4"/>
    <m/>
    <d v="2025-05-27T00:00:00"/>
    <d v="2025-05-27T00:00:00"/>
    <x v="0"/>
    <x v="0"/>
    <x v="4"/>
    <x v="1"/>
    <s v="Middle East (UAE)"/>
    <x v="17"/>
    <x v="15"/>
    <s v="116,000 AED"/>
    <n v="116000"/>
    <n v="106274248"/>
    <s v="NA"/>
    <s v="Pending Allocation"/>
    <m/>
    <s v="June"/>
    <m/>
    <m/>
    <x v="0"/>
    <s v=""/>
    <s v="50 Days"/>
    <n v="50"/>
    <s v=""/>
    <s v="The client is interested in the Traditionnelle self-winding ultra-thin and asking if we still have it"/>
    <m/>
    <m/>
    <m/>
    <s v="May 2025"/>
    <s v=""/>
    <n v="116000"/>
    <n v="116000"/>
    <n v="116000"/>
    <m/>
  </r>
  <r>
    <n v="32"/>
    <s v=""/>
    <s v=""/>
    <x v="5"/>
    <m/>
    <m/>
    <m/>
    <x v="2"/>
    <x v="2"/>
    <x v="5"/>
    <x v="3"/>
    <m/>
    <x v="18"/>
    <x v="16"/>
    <s v=""/>
    <s v=""/>
    <m/>
    <m/>
    <m/>
    <m/>
    <s v=""/>
    <m/>
    <m/>
    <x v="0"/>
    <s v=""/>
    <s v=""/>
    <s v=""/>
    <s v=""/>
    <m/>
    <m/>
    <m/>
    <m/>
    <s v=""/>
    <s v=""/>
    <s v=""/>
    <s v=""/>
    <s v=""/>
    <m/>
  </r>
  <r>
    <n v="33"/>
    <s v=""/>
    <s v=""/>
    <x v="5"/>
    <m/>
    <m/>
    <m/>
    <x v="2"/>
    <x v="2"/>
    <x v="5"/>
    <x v="3"/>
    <m/>
    <x v="18"/>
    <x v="16"/>
    <s v=""/>
    <s v=""/>
    <m/>
    <m/>
    <m/>
    <m/>
    <s v=""/>
    <m/>
    <m/>
    <x v="0"/>
    <s v=""/>
    <s v=""/>
    <s v=""/>
    <s v=""/>
    <m/>
    <m/>
    <m/>
    <m/>
    <s v=""/>
    <s v=""/>
    <s v=""/>
    <s v=""/>
    <s v=""/>
    <m/>
  </r>
  <r>
    <n v="35"/>
    <s v=""/>
    <s v=""/>
    <x v="5"/>
    <m/>
    <m/>
    <m/>
    <x v="2"/>
    <x v="2"/>
    <x v="5"/>
    <x v="3"/>
    <m/>
    <x v="18"/>
    <x v="16"/>
    <s v=""/>
    <s v=""/>
    <m/>
    <m/>
    <m/>
    <m/>
    <s v=""/>
    <m/>
    <m/>
    <x v="0"/>
    <s v=""/>
    <s v=""/>
    <s v=""/>
    <s v=""/>
    <m/>
    <m/>
    <m/>
    <m/>
    <s v=""/>
    <s v=""/>
    <s v=""/>
    <s v=""/>
    <s v=""/>
    <m/>
  </r>
  <r>
    <n v="36"/>
    <s v=""/>
    <s v=""/>
    <x v="5"/>
    <m/>
    <m/>
    <m/>
    <x v="2"/>
    <x v="2"/>
    <x v="5"/>
    <x v="3"/>
    <m/>
    <x v="18"/>
    <x v="16"/>
    <s v=""/>
    <s v=""/>
    <m/>
    <m/>
    <m/>
    <m/>
    <s v=""/>
    <m/>
    <m/>
    <x v="0"/>
    <s v=""/>
    <s v=""/>
    <s v=""/>
    <s v=""/>
    <m/>
    <m/>
    <m/>
    <m/>
    <s v=""/>
    <s v=""/>
    <s v=""/>
    <s v=""/>
    <s v=""/>
    <m/>
  </r>
  <r>
    <n v="37"/>
    <s v=""/>
    <s v=""/>
    <x v="5"/>
    <m/>
    <m/>
    <m/>
    <x v="2"/>
    <x v="2"/>
    <x v="5"/>
    <x v="3"/>
    <m/>
    <x v="18"/>
    <x v="16"/>
    <s v=""/>
    <s v=""/>
    <m/>
    <m/>
    <m/>
    <m/>
    <s v=""/>
    <m/>
    <m/>
    <x v="0"/>
    <s v=""/>
    <s v=""/>
    <s v=""/>
    <s v=""/>
    <m/>
    <m/>
    <m/>
    <m/>
    <s v=""/>
    <s v=""/>
    <s v=""/>
    <s v=""/>
    <s v=""/>
    <m/>
  </r>
  <r>
    <n v="38"/>
    <s v=""/>
    <s v=""/>
    <x v="5"/>
    <m/>
    <m/>
    <m/>
    <x v="2"/>
    <x v="2"/>
    <x v="5"/>
    <x v="3"/>
    <m/>
    <x v="18"/>
    <x v="16"/>
    <s v=""/>
    <s v=""/>
    <m/>
    <m/>
    <m/>
    <m/>
    <s v=""/>
    <m/>
    <m/>
    <x v="0"/>
    <s v=""/>
    <s v=""/>
    <s v=""/>
    <s v=""/>
    <m/>
    <m/>
    <m/>
    <m/>
    <s v=""/>
    <s v=""/>
    <s v=""/>
    <s v=""/>
    <s v=""/>
    <m/>
  </r>
  <r>
    <n v="39"/>
    <s v=""/>
    <s v=""/>
    <x v="5"/>
    <m/>
    <m/>
    <m/>
    <x v="2"/>
    <x v="2"/>
    <x v="5"/>
    <x v="3"/>
    <m/>
    <x v="18"/>
    <x v="16"/>
    <s v=""/>
    <s v=""/>
    <m/>
    <m/>
    <m/>
    <m/>
    <s v=""/>
    <m/>
    <m/>
    <x v="0"/>
    <s v=""/>
    <s v=""/>
    <s v=""/>
    <s v=""/>
    <m/>
    <m/>
    <m/>
    <m/>
    <s v=""/>
    <s v=""/>
    <s v=""/>
    <s v=""/>
    <s v=""/>
    <m/>
  </r>
  <r>
    <n v="40"/>
    <s v=""/>
    <s v=""/>
    <x v="5"/>
    <m/>
    <m/>
    <m/>
    <x v="2"/>
    <x v="2"/>
    <x v="5"/>
    <x v="3"/>
    <m/>
    <x v="18"/>
    <x v="16"/>
    <s v=""/>
    <s v=""/>
    <m/>
    <m/>
    <m/>
    <m/>
    <s v=""/>
    <m/>
    <m/>
    <x v="0"/>
    <s v=""/>
    <s v=""/>
    <s v=""/>
    <s v=""/>
    <m/>
    <m/>
    <m/>
    <m/>
    <s v=""/>
    <s v=""/>
    <s v=""/>
    <s v=""/>
    <s v=""/>
    <m/>
  </r>
  <r>
    <n v="41"/>
    <s v=""/>
    <s v=""/>
    <x v="5"/>
    <m/>
    <m/>
    <m/>
    <x v="2"/>
    <x v="2"/>
    <x v="5"/>
    <x v="3"/>
    <m/>
    <x v="18"/>
    <x v="16"/>
    <s v=""/>
    <s v=""/>
    <m/>
    <m/>
    <m/>
    <m/>
    <s v=""/>
    <m/>
    <m/>
    <x v="0"/>
    <s v=""/>
    <s v=""/>
    <s v=""/>
    <s v=""/>
    <m/>
    <m/>
    <m/>
    <m/>
    <s v=""/>
    <s v=""/>
    <s v=""/>
    <s v=""/>
    <s v=""/>
    <m/>
  </r>
  <r>
    <n v="42"/>
    <s v=""/>
    <s v=""/>
    <x v="5"/>
    <m/>
    <m/>
    <m/>
    <x v="2"/>
    <x v="2"/>
    <x v="5"/>
    <x v="3"/>
    <m/>
    <x v="18"/>
    <x v="16"/>
    <s v=""/>
    <s v=""/>
    <m/>
    <m/>
    <m/>
    <m/>
    <s v=""/>
    <m/>
    <m/>
    <x v="0"/>
    <s v=""/>
    <s v=""/>
    <s v=""/>
    <s v=""/>
    <m/>
    <m/>
    <m/>
    <m/>
    <s v=""/>
    <s v=""/>
    <s v=""/>
    <s v=""/>
    <s v=""/>
    <m/>
  </r>
  <r>
    <n v="43"/>
    <s v=""/>
    <s v=""/>
    <x v="5"/>
    <m/>
    <m/>
    <m/>
    <x v="2"/>
    <x v="2"/>
    <x v="5"/>
    <x v="3"/>
    <m/>
    <x v="18"/>
    <x v="16"/>
    <s v=""/>
    <s v=""/>
    <m/>
    <m/>
    <m/>
    <m/>
    <s v=""/>
    <m/>
    <m/>
    <x v="0"/>
    <s v=""/>
    <s v=""/>
    <s v=""/>
    <s v=""/>
    <m/>
    <m/>
    <m/>
    <m/>
    <s v=""/>
    <s v=""/>
    <s v=""/>
    <s v=""/>
    <s v=""/>
    <m/>
  </r>
  <r>
    <n v="44"/>
    <s v=""/>
    <s v=""/>
    <x v="5"/>
    <m/>
    <m/>
    <m/>
    <x v="2"/>
    <x v="2"/>
    <x v="5"/>
    <x v="3"/>
    <m/>
    <x v="18"/>
    <x v="16"/>
    <s v=""/>
    <s v=""/>
    <m/>
    <m/>
    <m/>
    <m/>
    <s v=""/>
    <m/>
    <m/>
    <x v="0"/>
    <s v=""/>
    <s v=""/>
    <s v=""/>
    <s v=""/>
    <m/>
    <m/>
    <m/>
    <m/>
    <s v=""/>
    <s v=""/>
    <s v=""/>
    <s v=""/>
    <s v=""/>
    <m/>
  </r>
  <r>
    <n v="45"/>
    <s v=""/>
    <s v=""/>
    <x v="5"/>
    <m/>
    <m/>
    <m/>
    <x v="2"/>
    <x v="2"/>
    <x v="5"/>
    <x v="3"/>
    <m/>
    <x v="18"/>
    <x v="16"/>
    <s v=""/>
    <s v=""/>
    <m/>
    <m/>
    <m/>
    <m/>
    <s v=""/>
    <m/>
    <m/>
    <x v="0"/>
    <s v=""/>
    <s v=""/>
    <s v=""/>
    <s v=""/>
    <m/>
    <m/>
    <m/>
    <m/>
    <s v=""/>
    <s v=""/>
    <s v=""/>
    <s v=""/>
    <s v=""/>
    <m/>
  </r>
  <r>
    <n v="46"/>
    <s v=""/>
    <s v=""/>
    <x v="5"/>
    <m/>
    <m/>
    <m/>
    <x v="2"/>
    <x v="2"/>
    <x v="5"/>
    <x v="3"/>
    <m/>
    <x v="18"/>
    <x v="16"/>
    <s v=""/>
    <s v=""/>
    <m/>
    <m/>
    <m/>
    <m/>
    <s v=""/>
    <m/>
    <m/>
    <x v="0"/>
    <s v=""/>
    <s v=""/>
    <s v=""/>
    <s v=""/>
    <m/>
    <m/>
    <m/>
    <m/>
    <s v=""/>
    <s v=""/>
    <s v=""/>
    <s v=""/>
    <s v=""/>
    <m/>
  </r>
  <r>
    <n v="47"/>
    <s v=""/>
    <s v=""/>
    <x v="5"/>
    <m/>
    <m/>
    <m/>
    <x v="2"/>
    <x v="2"/>
    <x v="5"/>
    <x v="3"/>
    <m/>
    <x v="18"/>
    <x v="16"/>
    <s v=""/>
    <s v=""/>
    <m/>
    <m/>
    <m/>
    <m/>
    <s v=""/>
    <m/>
    <m/>
    <x v="0"/>
    <s v=""/>
    <s v=""/>
    <s v=""/>
    <s v=""/>
    <m/>
    <m/>
    <m/>
    <m/>
    <s v=""/>
    <s v=""/>
    <s v=""/>
    <s v=""/>
    <s v=""/>
    <m/>
  </r>
  <r>
    <n v="48"/>
    <s v=""/>
    <s v=""/>
    <x v="5"/>
    <m/>
    <m/>
    <m/>
    <x v="2"/>
    <x v="2"/>
    <x v="5"/>
    <x v="3"/>
    <m/>
    <x v="18"/>
    <x v="16"/>
    <s v=""/>
    <s v=""/>
    <m/>
    <m/>
    <m/>
    <m/>
    <s v=""/>
    <m/>
    <m/>
    <x v="0"/>
    <s v=""/>
    <s v=""/>
    <s v=""/>
    <s v=""/>
    <m/>
    <m/>
    <m/>
    <m/>
    <s v=""/>
    <s v=""/>
    <s v=""/>
    <s v=""/>
    <s v=""/>
    <m/>
  </r>
  <r>
    <n v="49"/>
    <s v=""/>
    <s v=""/>
    <x v="5"/>
    <m/>
    <m/>
    <m/>
    <x v="2"/>
    <x v="2"/>
    <x v="5"/>
    <x v="3"/>
    <m/>
    <x v="18"/>
    <x v="16"/>
    <s v=""/>
    <s v=""/>
    <m/>
    <m/>
    <m/>
    <m/>
    <s v=""/>
    <m/>
    <m/>
    <x v="0"/>
    <s v=""/>
    <s v=""/>
    <s v=""/>
    <s v=""/>
    <m/>
    <m/>
    <m/>
    <m/>
    <s v=""/>
    <s v=""/>
    <s v=""/>
    <s v=""/>
    <s v=""/>
    <m/>
  </r>
  <r>
    <n v="50"/>
    <s v=""/>
    <s v=""/>
    <x v="5"/>
    <m/>
    <m/>
    <m/>
    <x v="2"/>
    <x v="2"/>
    <x v="5"/>
    <x v="3"/>
    <m/>
    <x v="18"/>
    <x v="16"/>
    <s v=""/>
    <s v=""/>
    <m/>
    <m/>
    <m/>
    <m/>
    <s v=""/>
    <m/>
    <m/>
    <x v="0"/>
    <s v=""/>
    <s v=""/>
    <s v=""/>
    <s v=""/>
    <m/>
    <m/>
    <m/>
    <m/>
    <s v=""/>
    <s v=""/>
    <s v=""/>
    <s v=""/>
    <s v=""/>
    <m/>
  </r>
  <r>
    <n v="51"/>
    <s v=""/>
    <s v=""/>
    <x v="5"/>
    <m/>
    <m/>
    <m/>
    <x v="2"/>
    <x v="2"/>
    <x v="5"/>
    <x v="3"/>
    <m/>
    <x v="18"/>
    <x v="16"/>
    <s v=""/>
    <s v=""/>
    <m/>
    <m/>
    <m/>
    <m/>
    <s v=""/>
    <m/>
    <m/>
    <x v="0"/>
    <s v=""/>
    <s v=""/>
    <s v=""/>
    <s v=""/>
    <m/>
    <m/>
    <m/>
    <m/>
    <s v=""/>
    <s v=""/>
    <s v=""/>
    <s v=""/>
    <s v=""/>
    <m/>
  </r>
  <r>
    <n v="52"/>
    <s v=""/>
    <s v=""/>
    <x v="5"/>
    <m/>
    <m/>
    <m/>
    <x v="2"/>
    <x v="2"/>
    <x v="5"/>
    <x v="3"/>
    <m/>
    <x v="18"/>
    <x v="16"/>
    <s v=""/>
    <s v=""/>
    <m/>
    <m/>
    <m/>
    <m/>
    <s v=""/>
    <m/>
    <m/>
    <x v="0"/>
    <s v=""/>
    <s v=""/>
    <s v=""/>
    <s v=""/>
    <m/>
    <m/>
    <m/>
    <m/>
    <s v=""/>
    <s v=""/>
    <s v=""/>
    <s v=""/>
    <s v=""/>
    <m/>
  </r>
  <r>
    <n v="53"/>
    <s v=""/>
    <s v=""/>
    <x v="5"/>
    <m/>
    <m/>
    <m/>
    <x v="2"/>
    <x v="2"/>
    <x v="5"/>
    <x v="3"/>
    <m/>
    <x v="18"/>
    <x v="16"/>
    <s v=""/>
    <s v=""/>
    <m/>
    <m/>
    <m/>
    <m/>
    <s v=""/>
    <m/>
    <m/>
    <x v="0"/>
    <s v=""/>
    <s v=""/>
    <s v=""/>
    <s v=""/>
    <m/>
    <m/>
    <m/>
    <m/>
    <s v=""/>
    <s v=""/>
    <s v=""/>
    <s v=""/>
    <s v=""/>
    <m/>
  </r>
  <r>
    <n v="54"/>
    <s v=""/>
    <s v=""/>
    <x v="5"/>
    <m/>
    <m/>
    <m/>
    <x v="2"/>
    <x v="2"/>
    <x v="5"/>
    <x v="3"/>
    <m/>
    <x v="18"/>
    <x v="16"/>
    <s v=""/>
    <s v=""/>
    <m/>
    <m/>
    <m/>
    <m/>
    <s v=""/>
    <m/>
    <m/>
    <x v="0"/>
    <s v=""/>
    <s v=""/>
    <s v=""/>
    <s v=""/>
    <m/>
    <m/>
    <m/>
    <m/>
    <s v=""/>
    <s v=""/>
    <s v=""/>
    <s v=""/>
    <s v=""/>
    <m/>
  </r>
  <r>
    <n v="55"/>
    <s v=""/>
    <s v=""/>
    <x v="5"/>
    <m/>
    <m/>
    <m/>
    <x v="2"/>
    <x v="2"/>
    <x v="5"/>
    <x v="3"/>
    <m/>
    <x v="18"/>
    <x v="16"/>
    <s v=""/>
    <s v=""/>
    <m/>
    <m/>
    <m/>
    <m/>
    <s v=""/>
    <m/>
    <m/>
    <x v="0"/>
    <s v=""/>
    <s v=""/>
    <s v=""/>
    <s v=""/>
    <m/>
    <m/>
    <m/>
    <m/>
    <s v=""/>
    <s v=""/>
    <s v=""/>
    <s v=""/>
    <s v=""/>
    <m/>
  </r>
  <r>
    <n v="56"/>
    <s v=""/>
    <s v=""/>
    <x v="5"/>
    <m/>
    <m/>
    <m/>
    <x v="2"/>
    <x v="2"/>
    <x v="5"/>
    <x v="3"/>
    <m/>
    <x v="18"/>
    <x v="16"/>
    <s v=""/>
    <s v=""/>
    <m/>
    <m/>
    <m/>
    <m/>
    <s v=""/>
    <m/>
    <m/>
    <x v="0"/>
    <s v=""/>
    <s v=""/>
    <s v=""/>
    <s v=""/>
    <m/>
    <m/>
    <m/>
    <m/>
    <s v=""/>
    <s v=""/>
    <s v=""/>
    <s v=""/>
    <s v=""/>
    <m/>
  </r>
  <r>
    <n v="57"/>
    <s v=""/>
    <s v=""/>
    <x v="5"/>
    <m/>
    <m/>
    <m/>
    <x v="2"/>
    <x v="2"/>
    <x v="5"/>
    <x v="3"/>
    <m/>
    <x v="18"/>
    <x v="16"/>
    <s v=""/>
    <s v=""/>
    <m/>
    <m/>
    <m/>
    <m/>
    <s v=""/>
    <m/>
    <m/>
    <x v="0"/>
    <s v=""/>
    <s v=""/>
    <s v=""/>
    <s v=""/>
    <m/>
    <m/>
    <m/>
    <m/>
    <s v=""/>
    <s v=""/>
    <s v=""/>
    <s v=""/>
    <s v=""/>
    <m/>
  </r>
  <r>
    <n v="58"/>
    <s v=""/>
    <s v=""/>
    <x v="5"/>
    <m/>
    <m/>
    <m/>
    <x v="2"/>
    <x v="2"/>
    <x v="5"/>
    <x v="3"/>
    <m/>
    <x v="18"/>
    <x v="16"/>
    <s v=""/>
    <s v=""/>
    <m/>
    <m/>
    <m/>
    <m/>
    <s v=""/>
    <m/>
    <m/>
    <x v="0"/>
    <s v=""/>
    <s v=""/>
    <s v=""/>
    <s v=""/>
    <m/>
    <m/>
    <m/>
    <m/>
    <s v=""/>
    <s v=""/>
    <s v=""/>
    <s v=""/>
    <s v=""/>
    <m/>
  </r>
  <r>
    <n v="59"/>
    <s v=""/>
    <s v=""/>
    <x v="5"/>
    <m/>
    <m/>
    <m/>
    <x v="2"/>
    <x v="2"/>
    <x v="5"/>
    <x v="3"/>
    <m/>
    <x v="18"/>
    <x v="16"/>
    <s v=""/>
    <s v=""/>
    <m/>
    <m/>
    <m/>
    <m/>
    <s v=""/>
    <m/>
    <m/>
    <x v="0"/>
    <s v=""/>
    <s v=""/>
    <s v=""/>
    <s v=""/>
    <m/>
    <m/>
    <m/>
    <m/>
    <s v=""/>
    <s v=""/>
    <s v=""/>
    <s v=""/>
    <s v=""/>
    <m/>
  </r>
  <r>
    <n v="60"/>
    <s v=""/>
    <s v=""/>
    <x v="5"/>
    <m/>
    <m/>
    <m/>
    <x v="2"/>
    <x v="2"/>
    <x v="5"/>
    <x v="3"/>
    <m/>
    <x v="18"/>
    <x v="16"/>
    <s v=""/>
    <s v=""/>
    <m/>
    <m/>
    <m/>
    <m/>
    <s v=""/>
    <m/>
    <m/>
    <x v="0"/>
    <s v=""/>
    <s v=""/>
    <s v=""/>
    <s v=""/>
    <m/>
    <m/>
    <m/>
    <m/>
    <s v=""/>
    <s v=""/>
    <s v=""/>
    <s v=""/>
    <s v=""/>
    <m/>
  </r>
  <r>
    <n v="61"/>
    <s v=""/>
    <s v=""/>
    <x v="5"/>
    <m/>
    <m/>
    <m/>
    <x v="2"/>
    <x v="2"/>
    <x v="5"/>
    <x v="3"/>
    <m/>
    <x v="18"/>
    <x v="16"/>
    <s v=""/>
    <s v=""/>
    <m/>
    <m/>
    <m/>
    <m/>
    <s v=""/>
    <m/>
    <m/>
    <x v="0"/>
    <s v=""/>
    <s v=""/>
    <s v=""/>
    <s v=""/>
    <m/>
    <m/>
    <m/>
    <m/>
    <s v=""/>
    <s v=""/>
    <s v=""/>
    <s v=""/>
    <s v=""/>
    <m/>
  </r>
  <r>
    <n v="62"/>
    <s v=""/>
    <s v=""/>
    <x v="5"/>
    <m/>
    <m/>
    <m/>
    <x v="2"/>
    <x v="2"/>
    <x v="5"/>
    <x v="3"/>
    <m/>
    <x v="18"/>
    <x v="16"/>
    <s v=""/>
    <s v=""/>
    <m/>
    <m/>
    <m/>
    <m/>
    <s v=""/>
    <m/>
    <m/>
    <x v="0"/>
    <s v=""/>
    <s v=""/>
    <s v=""/>
    <s v=""/>
    <m/>
    <m/>
    <m/>
    <m/>
    <s v=""/>
    <s v=""/>
    <s v=""/>
    <s v=""/>
    <s v=""/>
    <m/>
  </r>
  <r>
    <n v="63"/>
    <s v=""/>
    <s v=""/>
    <x v="5"/>
    <m/>
    <m/>
    <m/>
    <x v="2"/>
    <x v="2"/>
    <x v="5"/>
    <x v="3"/>
    <m/>
    <x v="18"/>
    <x v="16"/>
    <s v=""/>
    <s v=""/>
    <m/>
    <m/>
    <m/>
    <m/>
    <s v=""/>
    <m/>
    <m/>
    <x v="0"/>
    <s v=""/>
    <s v=""/>
    <s v=""/>
    <s v=""/>
    <m/>
    <m/>
    <m/>
    <m/>
    <s v=""/>
    <s v=""/>
    <s v=""/>
    <s v=""/>
    <s v=""/>
    <m/>
  </r>
  <r>
    <n v="64"/>
    <s v=""/>
    <s v=""/>
    <x v="5"/>
    <m/>
    <m/>
    <m/>
    <x v="2"/>
    <x v="2"/>
    <x v="5"/>
    <x v="3"/>
    <m/>
    <x v="18"/>
    <x v="16"/>
    <s v=""/>
    <s v=""/>
    <m/>
    <m/>
    <m/>
    <m/>
    <s v=""/>
    <m/>
    <m/>
    <x v="0"/>
    <s v=""/>
    <s v=""/>
    <s v=""/>
    <s v=""/>
    <m/>
    <m/>
    <m/>
    <m/>
    <s v=""/>
    <s v=""/>
    <s v=""/>
    <s v=""/>
    <s v=""/>
    <m/>
  </r>
  <r>
    <n v="65"/>
    <s v=""/>
    <s v=""/>
    <x v="5"/>
    <m/>
    <m/>
    <m/>
    <x v="2"/>
    <x v="2"/>
    <x v="5"/>
    <x v="3"/>
    <m/>
    <x v="18"/>
    <x v="16"/>
    <s v=""/>
    <s v=""/>
    <m/>
    <m/>
    <m/>
    <m/>
    <s v=""/>
    <m/>
    <m/>
    <x v="0"/>
    <s v=""/>
    <s v=""/>
    <s v=""/>
    <s v=""/>
    <m/>
    <m/>
    <m/>
    <m/>
    <s v=""/>
    <s v=""/>
    <s v=""/>
    <s v=""/>
    <s v=""/>
    <m/>
  </r>
  <r>
    <n v="66"/>
    <s v=""/>
    <s v=""/>
    <x v="5"/>
    <m/>
    <m/>
    <m/>
    <x v="2"/>
    <x v="2"/>
    <x v="5"/>
    <x v="3"/>
    <m/>
    <x v="18"/>
    <x v="16"/>
    <s v=""/>
    <s v=""/>
    <m/>
    <m/>
    <m/>
    <m/>
    <s v=""/>
    <m/>
    <m/>
    <x v="0"/>
    <s v=""/>
    <s v=""/>
    <s v=""/>
    <s v=""/>
    <m/>
    <m/>
    <m/>
    <m/>
    <s v=""/>
    <s v=""/>
    <s v=""/>
    <s v=""/>
    <s v=""/>
    <m/>
  </r>
  <r>
    <n v="67"/>
    <s v=""/>
    <s v=""/>
    <x v="5"/>
    <m/>
    <m/>
    <m/>
    <x v="2"/>
    <x v="2"/>
    <x v="5"/>
    <x v="3"/>
    <m/>
    <x v="18"/>
    <x v="16"/>
    <s v=""/>
    <s v=""/>
    <m/>
    <m/>
    <m/>
    <m/>
    <s v=""/>
    <m/>
    <m/>
    <x v="0"/>
    <s v=""/>
    <s v=""/>
    <s v=""/>
    <s v=""/>
    <m/>
    <m/>
    <m/>
    <m/>
    <s v=""/>
    <s v=""/>
    <s v=""/>
    <s v=""/>
    <s v=""/>
    <m/>
  </r>
  <r>
    <n v="68"/>
    <s v=""/>
    <s v=""/>
    <x v="5"/>
    <m/>
    <m/>
    <m/>
    <x v="2"/>
    <x v="2"/>
    <x v="5"/>
    <x v="3"/>
    <m/>
    <x v="18"/>
    <x v="16"/>
    <s v=""/>
    <s v=""/>
    <m/>
    <m/>
    <m/>
    <m/>
    <s v=""/>
    <m/>
    <m/>
    <x v="0"/>
    <s v=""/>
    <s v=""/>
    <s v=""/>
    <s v=""/>
    <m/>
    <m/>
    <m/>
    <m/>
    <s v=""/>
    <s v=""/>
    <s v=""/>
    <s v=""/>
    <s v=""/>
    <m/>
  </r>
  <r>
    <n v="69"/>
    <s v=""/>
    <s v=""/>
    <x v="5"/>
    <m/>
    <m/>
    <m/>
    <x v="2"/>
    <x v="2"/>
    <x v="5"/>
    <x v="3"/>
    <m/>
    <x v="18"/>
    <x v="16"/>
    <s v=""/>
    <s v=""/>
    <m/>
    <m/>
    <m/>
    <m/>
    <s v=""/>
    <m/>
    <m/>
    <x v="0"/>
    <s v=""/>
    <s v=""/>
    <s v=""/>
    <s v=""/>
    <m/>
    <m/>
    <m/>
    <m/>
    <s v=""/>
    <s v=""/>
    <s v=""/>
    <s v=""/>
    <s v=""/>
    <m/>
  </r>
  <r>
    <n v="70"/>
    <s v=""/>
    <s v=""/>
    <x v="5"/>
    <m/>
    <m/>
    <m/>
    <x v="2"/>
    <x v="2"/>
    <x v="5"/>
    <x v="3"/>
    <m/>
    <x v="18"/>
    <x v="16"/>
    <s v=""/>
    <s v=""/>
    <m/>
    <m/>
    <m/>
    <m/>
    <s v=""/>
    <m/>
    <m/>
    <x v="0"/>
    <s v=""/>
    <s v=""/>
    <s v=""/>
    <s v=""/>
    <m/>
    <m/>
    <m/>
    <m/>
    <s v=""/>
    <s v=""/>
    <s v=""/>
    <s v=""/>
    <s v=""/>
    <m/>
  </r>
  <r>
    <n v="71"/>
    <s v=""/>
    <s v=""/>
    <x v="5"/>
    <m/>
    <m/>
    <m/>
    <x v="2"/>
    <x v="2"/>
    <x v="5"/>
    <x v="3"/>
    <m/>
    <x v="18"/>
    <x v="16"/>
    <s v=""/>
    <s v=""/>
    <m/>
    <m/>
    <m/>
    <m/>
    <s v=""/>
    <m/>
    <m/>
    <x v="0"/>
    <s v=""/>
    <s v=""/>
    <s v=""/>
    <s v=""/>
    <m/>
    <m/>
    <m/>
    <m/>
    <s v=""/>
    <s v=""/>
    <s v=""/>
    <s v=""/>
    <s v=""/>
    <m/>
  </r>
  <r>
    <n v="72"/>
    <s v=""/>
    <s v=""/>
    <x v="5"/>
    <m/>
    <m/>
    <m/>
    <x v="2"/>
    <x v="2"/>
    <x v="5"/>
    <x v="3"/>
    <m/>
    <x v="18"/>
    <x v="16"/>
    <s v=""/>
    <s v=""/>
    <m/>
    <m/>
    <m/>
    <m/>
    <s v=""/>
    <m/>
    <m/>
    <x v="0"/>
    <s v=""/>
    <s v=""/>
    <s v=""/>
    <s v=""/>
    <m/>
    <m/>
    <m/>
    <m/>
    <s v=""/>
    <s v=""/>
    <s v=""/>
    <s v=""/>
    <s v=""/>
    <m/>
  </r>
  <r>
    <n v="73"/>
    <s v=""/>
    <s v=""/>
    <x v="5"/>
    <m/>
    <m/>
    <m/>
    <x v="2"/>
    <x v="2"/>
    <x v="5"/>
    <x v="3"/>
    <m/>
    <x v="18"/>
    <x v="16"/>
    <s v=""/>
    <s v=""/>
    <m/>
    <m/>
    <m/>
    <m/>
    <s v=""/>
    <m/>
    <m/>
    <x v="0"/>
    <s v=""/>
    <s v=""/>
    <s v=""/>
    <s v=""/>
    <m/>
    <m/>
    <m/>
    <m/>
    <s v=""/>
    <s v=""/>
    <s v=""/>
    <s v=""/>
    <s v=""/>
    <m/>
  </r>
  <r>
    <n v="74"/>
    <s v=""/>
    <s v=""/>
    <x v="5"/>
    <m/>
    <m/>
    <m/>
    <x v="2"/>
    <x v="2"/>
    <x v="5"/>
    <x v="3"/>
    <m/>
    <x v="18"/>
    <x v="16"/>
    <s v=""/>
    <s v=""/>
    <m/>
    <m/>
    <m/>
    <m/>
    <s v=""/>
    <m/>
    <m/>
    <x v="0"/>
    <s v=""/>
    <s v=""/>
    <s v=""/>
    <s v=""/>
    <m/>
    <m/>
    <m/>
    <m/>
    <s v=""/>
    <s v=""/>
    <s v=""/>
    <s v=""/>
    <s v=""/>
    <m/>
  </r>
  <r>
    <n v="75"/>
    <s v=""/>
    <s v=""/>
    <x v="5"/>
    <m/>
    <m/>
    <m/>
    <x v="2"/>
    <x v="2"/>
    <x v="5"/>
    <x v="3"/>
    <m/>
    <x v="18"/>
    <x v="16"/>
    <s v=""/>
    <s v=""/>
    <m/>
    <m/>
    <m/>
    <m/>
    <s v=""/>
    <m/>
    <m/>
    <x v="0"/>
    <s v=""/>
    <s v=""/>
    <s v=""/>
    <s v=""/>
    <m/>
    <m/>
    <m/>
    <m/>
    <s v=""/>
    <s v=""/>
    <s v=""/>
    <s v=""/>
    <s v=""/>
    <m/>
  </r>
  <r>
    <n v="76"/>
    <s v=""/>
    <s v=""/>
    <x v="5"/>
    <m/>
    <m/>
    <m/>
    <x v="2"/>
    <x v="2"/>
    <x v="5"/>
    <x v="3"/>
    <m/>
    <x v="18"/>
    <x v="16"/>
    <s v=""/>
    <s v=""/>
    <m/>
    <m/>
    <m/>
    <m/>
    <s v=""/>
    <m/>
    <m/>
    <x v="0"/>
    <s v=""/>
    <s v=""/>
    <s v=""/>
    <s v=""/>
    <m/>
    <m/>
    <m/>
    <m/>
    <s v=""/>
    <s v=""/>
    <s v=""/>
    <s v=""/>
    <s v=""/>
    <m/>
  </r>
  <r>
    <n v="77"/>
    <s v=""/>
    <s v=""/>
    <x v="5"/>
    <m/>
    <m/>
    <m/>
    <x v="2"/>
    <x v="2"/>
    <x v="5"/>
    <x v="3"/>
    <m/>
    <x v="18"/>
    <x v="16"/>
    <s v=""/>
    <s v=""/>
    <m/>
    <m/>
    <m/>
    <m/>
    <s v=""/>
    <m/>
    <m/>
    <x v="0"/>
    <s v=""/>
    <s v=""/>
    <s v=""/>
    <s v=""/>
    <m/>
    <m/>
    <m/>
    <m/>
    <s v=""/>
    <s v=""/>
    <s v=""/>
    <s v=""/>
    <s v=""/>
    <m/>
  </r>
  <r>
    <n v="78"/>
    <s v=""/>
    <s v=""/>
    <x v="5"/>
    <m/>
    <m/>
    <m/>
    <x v="2"/>
    <x v="2"/>
    <x v="5"/>
    <x v="3"/>
    <m/>
    <x v="18"/>
    <x v="16"/>
    <s v=""/>
    <s v=""/>
    <m/>
    <m/>
    <m/>
    <m/>
    <s v=""/>
    <m/>
    <m/>
    <x v="0"/>
    <s v=""/>
    <s v=""/>
    <s v=""/>
    <s v=""/>
    <m/>
    <m/>
    <m/>
    <m/>
    <s v=""/>
    <s v=""/>
    <s v=""/>
    <s v=""/>
    <s v=""/>
    <m/>
  </r>
  <r>
    <n v="79"/>
    <s v=""/>
    <s v=""/>
    <x v="5"/>
    <m/>
    <m/>
    <m/>
    <x v="2"/>
    <x v="2"/>
    <x v="5"/>
    <x v="3"/>
    <m/>
    <x v="18"/>
    <x v="16"/>
    <s v=""/>
    <s v=""/>
    <m/>
    <m/>
    <m/>
    <m/>
    <s v=""/>
    <m/>
    <m/>
    <x v="0"/>
    <s v=""/>
    <s v=""/>
    <s v=""/>
    <s v=""/>
    <m/>
    <m/>
    <m/>
    <m/>
    <s v=""/>
    <s v=""/>
    <s v=""/>
    <s v=""/>
    <s v=""/>
    <m/>
  </r>
  <r>
    <n v="80"/>
    <s v=""/>
    <s v=""/>
    <x v="5"/>
    <m/>
    <m/>
    <m/>
    <x v="2"/>
    <x v="2"/>
    <x v="5"/>
    <x v="3"/>
    <m/>
    <x v="18"/>
    <x v="16"/>
    <s v=""/>
    <s v=""/>
    <m/>
    <m/>
    <m/>
    <m/>
    <s v=""/>
    <m/>
    <m/>
    <x v="0"/>
    <s v=""/>
    <s v=""/>
    <s v=""/>
    <s v=""/>
    <m/>
    <m/>
    <m/>
    <m/>
    <s v=""/>
    <s v=""/>
    <s v=""/>
    <s v=""/>
    <s v=""/>
    <m/>
  </r>
  <r>
    <n v="81"/>
    <s v=""/>
    <s v=""/>
    <x v="5"/>
    <m/>
    <m/>
    <m/>
    <x v="2"/>
    <x v="2"/>
    <x v="5"/>
    <x v="3"/>
    <m/>
    <x v="18"/>
    <x v="16"/>
    <s v=""/>
    <s v=""/>
    <m/>
    <m/>
    <m/>
    <m/>
    <s v=""/>
    <m/>
    <m/>
    <x v="0"/>
    <s v=""/>
    <s v=""/>
    <s v=""/>
    <s v=""/>
    <m/>
    <m/>
    <m/>
    <m/>
    <s v=""/>
    <s v=""/>
    <s v=""/>
    <s v=""/>
    <s v=""/>
    <m/>
  </r>
  <r>
    <n v="82"/>
    <s v=""/>
    <s v=""/>
    <x v="5"/>
    <m/>
    <m/>
    <m/>
    <x v="2"/>
    <x v="2"/>
    <x v="5"/>
    <x v="3"/>
    <m/>
    <x v="18"/>
    <x v="16"/>
    <s v=""/>
    <s v=""/>
    <m/>
    <m/>
    <m/>
    <m/>
    <s v=""/>
    <m/>
    <m/>
    <x v="0"/>
    <s v=""/>
    <s v=""/>
    <s v=""/>
    <s v=""/>
    <m/>
    <m/>
    <m/>
    <m/>
    <s v=""/>
    <s v=""/>
    <s v=""/>
    <s v=""/>
    <s v=""/>
    <m/>
  </r>
  <r>
    <n v="83"/>
    <s v=""/>
    <s v=""/>
    <x v="5"/>
    <m/>
    <m/>
    <m/>
    <x v="2"/>
    <x v="2"/>
    <x v="5"/>
    <x v="3"/>
    <m/>
    <x v="18"/>
    <x v="16"/>
    <s v=""/>
    <s v=""/>
    <m/>
    <m/>
    <m/>
    <m/>
    <s v=""/>
    <m/>
    <m/>
    <x v="0"/>
    <s v=""/>
    <s v=""/>
    <s v=""/>
    <s v=""/>
    <m/>
    <m/>
    <m/>
    <m/>
    <s v=""/>
    <s v=""/>
    <s v=""/>
    <s v=""/>
    <s v=""/>
    <m/>
  </r>
  <r>
    <n v="84"/>
    <s v=""/>
    <s v=""/>
    <x v="5"/>
    <m/>
    <m/>
    <m/>
    <x v="2"/>
    <x v="2"/>
    <x v="5"/>
    <x v="3"/>
    <m/>
    <x v="18"/>
    <x v="16"/>
    <s v=""/>
    <s v=""/>
    <m/>
    <m/>
    <m/>
    <m/>
    <s v=""/>
    <m/>
    <m/>
    <x v="0"/>
    <s v=""/>
    <s v=""/>
    <s v=""/>
    <s v=""/>
    <m/>
    <m/>
    <m/>
    <m/>
    <s v=""/>
    <s v=""/>
    <s v=""/>
    <s v=""/>
    <s v=""/>
    <m/>
  </r>
  <r>
    <n v="85"/>
    <s v=""/>
    <s v=""/>
    <x v="5"/>
    <m/>
    <m/>
    <m/>
    <x v="2"/>
    <x v="2"/>
    <x v="5"/>
    <x v="3"/>
    <m/>
    <x v="18"/>
    <x v="16"/>
    <s v=""/>
    <s v=""/>
    <m/>
    <m/>
    <m/>
    <m/>
    <s v=""/>
    <m/>
    <m/>
    <x v="0"/>
    <s v=""/>
    <s v=""/>
    <s v=""/>
    <s v=""/>
    <m/>
    <m/>
    <m/>
    <m/>
    <s v=""/>
    <s v=""/>
    <s v=""/>
    <s v=""/>
    <s v=""/>
    <m/>
  </r>
  <r>
    <n v="86"/>
    <s v=""/>
    <s v=""/>
    <x v="5"/>
    <m/>
    <m/>
    <m/>
    <x v="2"/>
    <x v="2"/>
    <x v="5"/>
    <x v="3"/>
    <m/>
    <x v="18"/>
    <x v="16"/>
    <s v=""/>
    <s v=""/>
    <m/>
    <m/>
    <m/>
    <m/>
    <s v=""/>
    <m/>
    <m/>
    <x v="0"/>
    <s v=""/>
    <s v=""/>
    <s v=""/>
    <s v=""/>
    <m/>
    <m/>
    <m/>
    <m/>
    <s v=""/>
    <s v=""/>
    <s v=""/>
    <s v=""/>
    <s v=""/>
    <m/>
  </r>
  <r>
    <n v="87"/>
    <s v=""/>
    <s v=""/>
    <x v="5"/>
    <m/>
    <m/>
    <m/>
    <x v="2"/>
    <x v="2"/>
    <x v="5"/>
    <x v="3"/>
    <m/>
    <x v="18"/>
    <x v="16"/>
    <s v=""/>
    <s v=""/>
    <m/>
    <m/>
    <m/>
    <m/>
    <s v=""/>
    <m/>
    <m/>
    <x v="0"/>
    <s v=""/>
    <s v=""/>
    <s v=""/>
    <s v=""/>
    <m/>
    <m/>
    <m/>
    <m/>
    <s v=""/>
    <s v=""/>
    <s v=""/>
    <s v=""/>
    <s v=""/>
    <m/>
  </r>
  <r>
    <n v="88"/>
    <s v=""/>
    <s v=""/>
    <x v="5"/>
    <m/>
    <m/>
    <m/>
    <x v="2"/>
    <x v="2"/>
    <x v="5"/>
    <x v="3"/>
    <m/>
    <x v="18"/>
    <x v="16"/>
    <s v=""/>
    <s v=""/>
    <m/>
    <m/>
    <m/>
    <m/>
    <s v=""/>
    <m/>
    <m/>
    <x v="0"/>
    <s v=""/>
    <s v=""/>
    <s v=""/>
    <s v=""/>
    <m/>
    <m/>
    <m/>
    <m/>
    <s v=""/>
    <s v=""/>
    <s v=""/>
    <s v=""/>
    <s v=""/>
    <m/>
  </r>
  <r>
    <n v="89"/>
    <s v=""/>
    <s v=""/>
    <x v="5"/>
    <m/>
    <m/>
    <m/>
    <x v="2"/>
    <x v="2"/>
    <x v="5"/>
    <x v="3"/>
    <m/>
    <x v="18"/>
    <x v="16"/>
    <s v=""/>
    <s v=""/>
    <m/>
    <m/>
    <m/>
    <m/>
    <s v=""/>
    <m/>
    <m/>
    <x v="0"/>
    <s v=""/>
    <s v=""/>
    <s v=""/>
    <s v=""/>
    <m/>
    <m/>
    <m/>
    <m/>
    <s v=""/>
    <s v=""/>
    <s v=""/>
    <s v=""/>
    <s v=""/>
    <m/>
  </r>
  <r>
    <n v="90"/>
    <s v=""/>
    <s v=""/>
    <x v="5"/>
    <m/>
    <m/>
    <m/>
    <x v="2"/>
    <x v="2"/>
    <x v="5"/>
    <x v="3"/>
    <m/>
    <x v="18"/>
    <x v="16"/>
    <s v=""/>
    <s v=""/>
    <m/>
    <m/>
    <m/>
    <m/>
    <s v=""/>
    <m/>
    <m/>
    <x v="0"/>
    <s v=""/>
    <s v=""/>
    <s v=""/>
    <s v=""/>
    <m/>
    <m/>
    <m/>
    <m/>
    <s v=""/>
    <s v=""/>
    <s v=""/>
    <s v=""/>
    <s v=""/>
    <m/>
  </r>
  <r>
    <n v="91"/>
    <s v=""/>
    <s v=""/>
    <x v="5"/>
    <m/>
    <m/>
    <m/>
    <x v="2"/>
    <x v="2"/>
    <x v="5"/>
    <x v="3"/>
    <m/>
    <x v="18"/>
    <x v="16"/>
    <s v=""/>
    <s v=""/>
    <m/>
    <m/>
    <m/>
    <m/>
    <s v=""/>
    <m/>
    <m/>
    <x v="0"/>
    <s v=""/>
    <s v=""/>
    <s v=""/>
    <s v=""/>
    <m/>
    <m/>
    <m/>
    <m/>
    <s v=""/>
    <s v=""/>
    <s v=""/>
    <s v=""/>
    <s v=""/>
    <m/>
  </r>
  <r>
    <n v="92"/>
    <s v=""/>
    <s v=""/>
    <x v="5"/>
    <m/>
    <m/>
    <m/>
    <x v="2"/>
    <x v="2"/>
    <x v="5"/>
    <x v="3"/>
    <m/>
    <x v="18"/>
    <x v="16"/>
    <s v=""/>
    <s v=""/>
    <m/>
    <m/>
    <m/>
    <m/>
    <s v=""/>
    <m/>
    <m/>
    <x v="0"/>
    <s v=""/>
    <s v=""/>
    <s v=""/>
    <s v=""/>
    <m/>
    <m/>
    <m/>
    <m/>
    <s v=""/>
    <s v=""/>
    <s v=""/>
    <s v=""/>
    <s v=""/>
    <m/>
  </r>
  <r>
    <n v="93"/>
    <s v=""/>
    <s v=""/>
    <x v="5"/>
    <m/>
    <m/>
    <m/>
    <x v="2"/>
    <x v="2"/>
    <x v="5"/>
    <x v="3"/>
    <m/>
    <x v="18"/>
    <x v="16"/>
    <s v=""/>
    <s v=""/>
    <m/>
    <m/>
    <m/>
    <m/>
    <s v=""/>
    <m/>
    <m/>
    <x v="0"/>
    <s v=""/>
    <s v=""/>
    <s v=""/>
    <s v=""/>
    <m/>
    <m/>
    <m/>
    <m/>
    <s v=""/>
    <s v=""/>
    <s v=""/>
    <s v=""/>
    <s v=""/>
    <m/>
  </r>
  <r>
    <n v="94"/>
    <s v=""/>
    <s v=""/>
    <x v="5"/>
    <m/>
    <m/>
    <m/>
    <x v="2"/>
    <x v="2"/>
    <x v="5"/>
    <x v="3"/>
    <m/>
    <x v="18"/>
    <x v="16"/>
    <s v=""/>
    <s v=""/>
    <m/>
    <m/>
    <m/>
    <m/>
    <s v=""/>
    <m/>
    <m/>
    <x v="0"/>
    <s v=""/>
    <s v=""/>
    <s v=""/>
    <s v=""/>
    <m/>
    <m/>
    <m/>
    <m/>
    <s v=""/>
    <s v=""/>
    <s v=""/>
    <s v=""/>
    <s v=""/>
    <m/>
  </r>
  <r>
    <n v="95"/>
    <s v=""/>
    <s v=""/>
    <x v="5"/>
    <m/>
    <m/>
    <m/>
    <x v="2"/>
    <x v="2"/>
    <x v="5"/>
    <x v="3"/>
    <m/>
    <x v="18"/>
    <x v="16"/>
    <s v=""/>
    <s v=""/>
    <m/>
    <m/>
    <m/>
    <m/>
    <s v=""/>
    <m/>
    <m/>
    <x v="0"/>
    <s v=""/>
    <s v=""/>
    <s v=""/>
    <s v=""/>
    <m/>
    <m/>
    <m/>
    <m/>
    <s v=""/>
    <s v=""/>
    <s v=""/>
    <s v=""/>
    <s v=""/>
    <m/>
  </r>
  <r>
    <n v="96"/>
    <s v=""/>
    <s v=""/>
    <x v="5"/>
    <m/>
    <m/>
    <m/>
    <x v="2"/>
    <x v="2"/>
    <x v="5"/>
    <x v="3"/>
    <m/>
    <x v="18"/>
    <x v="16"/>
    <s v=""/>
    <s v=""/>
    <m/>
    <m/>
    <m/>
    <m/>
    <s v=""/>
    <m/>
    <m/>
    <x v="0"/>
    <s v=""/>
    <s v=""/>
    <s v=""/>
    <s v=""/>
    <m/>
    <m/>
    <m/>
    <m/>
    <s v=""/>
    <s v=""/>
    <s v=""/>
    <s v=""/>
    <s v=""/>
    <m/>
  </r>
  <r>
    <n v="97"/>
    <s v=""/>
    <s v=""/>
    <x v="5"/>
    <m/>
    <m/>
    <m/>
    <x v="2"/>
    <x v="2"/>
    <x v="5"/>
    <x v="3"/>
    <m/>
    <x v="18"/>
    <x v="16"/>
    <s v=""/>
    <s v=""/>
    <m/>
    <m/>
    <m/>
    <m/>
    <s v=""/>
    <m/>
    <m/>
    <x v="0"/>
    <s v=""/>
    <s v=""/>
    <s v=""/>
    <s v=""/>
    <m/>
    <m/>
    <m/>
    <m/>
    <s v=""/>
    <s v=""/>
    <s v=""/>
    <s v=""/>
    <s v=""/>
    <m/>
  </r>
  <r>
    <n v="98"/>
    <s v=""/>
    <s v=""/>
    <x v="5"/>
    <m/>
    <m/>
    <m/>
    <x v="2"/>
    <x v="2"/>
    <x v="5"/>
    <x v="3"/>
    <m/>
    <x v="18"/>
    <x v="16"/>
    <s v=""/>
    <s v=""/>
    <m/>
    <m/>
    <m/>
    <m/>
    <s v=""/>
    <m/>
    <m/>
    <x v="0"/>
    <s v=""/>
    <s v=""/>
    <s v=""/>
    <s v=""/>
    <m/>
    <m/>
    <m/>
    <m/>
    <s v=""/>
    <s v=""/>
    <s v=""/>
    <s v=""/>
    <s v=""/>
    <m/>
  </r>
  <r>
    <n v="99"/>
    <s v=""/>
    <s v=""/>
    <x v="5"/>
    <m/>
    <m/>
    <m/>
    <x v="2"/>
    <x v="2"/>
    <x v="5"/>
    <x v="3"/>
    <m/>
    <x v="18"/>
    <x v="16"/>
    <s v=""/>
    <s v=""/>
    <m/>
    <m/>
    <m/>
    <m/>
    <s v=""/>
    <m/>
    <m/>
    <x v="0"/>
    <s v=""/>
    <s v=""/>
    <s v=""/>
    <s v=""/>
    <m/>
    <m/>
    <m/>
    <m/>
    <s v=""/>
    <s v=""/>
    <s v=""/>
    <s v=""/>
    <s v=""/>
    <m/>
  </r>
  <r>
    <n v="100"/>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m/>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3"/>
    <x v="2"/>
    <x v="5"/>
    <x v="3"/>
    <m/>
    <x v="18"/>
    <x v="17"/>
    <m/>
    <m/>
    <m/>
    <m/>
    <m/>
    <m/>
    <m/>
    <m/>
    <m/>
    <x v="0"/>
    <m/>
    <m/>
    <m/>
    <m/>
    <m/>
    <m/>
    <m/>
    <m/>
    <s v=""/>
    <s v=""/>
    <s v=""/>
    <s v=""/>
    <s v=""/>
    <m/>
  </r>
  <r>
    <m/>
    <s v=""/>
    <s v=""/>
    <x v="5"/>
    <m/>
    <m/>
    <m/>
    <x v="3"/>
    <x v="2"/>
    <x v="5"/>
    <x v="3"/>
    <m/>
    <x v="18"/>
    <x v="17"/>
    <m/>
    <m/>
    <m/>
    <m/>
    <m/>
    <m/>
    <m/>
    <m/>
    <m/>
    <x v="0"/>
    <m/>
    <m/>
    <m/>
    <m/>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m/>
    <s v=""/>
    <s v=""/>
    <x v="5"/>
    <m/>
    <m/>
    <m/>
    <x v="2"/>
    <x v="2"/>
    <x v="5"/>
    <x v="3"/>
    <m/>
    <x v="18"/>
    <x v="16"/>
    <s v=""/>
    <s v=""/>
    <m/>
    <m/>
    <m/>
    <m/>
    <s v=""/>
    <m/>
    <m/>
    <x v="0"/>
    <s v=""/>
    <s v=""/>
    <s v=""/>
    <s v=""/>
    <m/>
    <m/>
    <m/>
    <m/>
    <s v=""/>
    <s v=""/>
    <s v=""/>
    <s v=""/>
    <s v=""/>
    <m/>
  </r>
  <r>
    <n v="32"/>
    <s v=""/>
    <s v=""/>
    <x v="4"/>
    <m/>
    <m/>
    <m/>
    <x v="2"/>
    <x v="2"/>
    <x v="5"/>
    <x v="3"/>
    <m/>
    <x v="18"/>
    <x v="16"/>
    <s v=""/>
    <s v=""/>
    <m/>
    <m/>
    <m/>
    <m/>
    <s v=""/>
    <m/>
    <m/>
    <x v="0"/>
    <s v=""/>
    <s v=""/>
    <s v=""/>
    <s v=""/>
    <m/>
    <m/>
    <m/>
    <m/>
    <s v="January 1900"/>
    <s v=""/>
    <s v=""/>
    <s v=""/>
    <s v=""/>
    <m/>
  </r>
  <r>
    <n v="32"/>
    <s v=""/>
    <n v="7"/>
    <x v="0"/>
    <s v="RQS-UAE-120745"/>
    <d v="2025-06-28T00:00:00"/>
    <d v="2025-06-28T00:00:00"/>
    <x v="4"/>
    <x v="3"/>
    <x v="6"/>
    <x v="0"/>
    <s v="Middle East (UAE)"/>
    <x v="19"/>
    <x v="18"/>
    <s v="220,000 AED"/>
    <n v="220000"/>
    <n v="107400628"/>
    <m/>
    <s v="Pending Allocation"/>
    <m/>
    <s v=""/>
    <m/>
    <m/>
    <x v="0"/>
    <s v=""/>
    <s v="18 Days"/>
    <n v="18"/>
    <s v=""/>
    <m/>
    <m/>
    <m/>
    <m/>
    <s v="June 2025"/>
    <s v=""/>
    <n v="220000"/>
    <n v="220000"/>
    <n v="22000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9">
  <r>
    <s v="Request"/>
    <s v=""/>
    <s v="13/5/2025"/>
    <x v="0"/>
    <x v="0"/>
    <x v="0"/>
    <s v="Prospect"/>
    <x v="0"/>
    <s v="The client is intrested in the B911 and the Fiftysix _x000a_"/>
    <m/>
  </r>
  <r>
    <s v="Request"/>
    <s v=""/>
    <s v="13/5/2025"/>
    <x v="1"/>
    <x v="0"/>
    <x v="0"/>
    <s v="Prospect"/>
    <x v="0"/>
    <s v="Fiftysix complete calendar_x000a_"/>
    <m/>
  </r>
  <r>
    <s v="Request"/>
    <s v=""/>
    <s v="10/5/2025"/>
    <x v="2"/>
    <x v="0"/>
    <x v="0"/>
    <s v="Prospect"/>
    <x v="1"/>
    <s v="_x000a_"/>
    <m/>
  </r>
  <r>
    <s v="Request"/>
    <s v=""/>
    <s v="10/5/2025"/>
    <x v="3"/>
    <x v="0"/>
    <x v="0"/>
    <s v=""/>
    <x v="2"/>
    <s v="Aleksandr Luchenko_x000a_"/>
    <m/>
  </r>
  <r>
    <s v="Request"/>
    <s v=""/>
    <s v="6/5/2025"/>
    <x v="2"/>
    <x v="0"/>
    <x v="1"/>
    <s v="Prospect"/>
    <x v="1"/>
    <s v=""/>
    <m/>
  </r>
  <r>
    <s v="Request"/>
    <s v=""/>
    <s v="6/5/2025"/>
    <x v="4"/>
    <x v="0"/>
    <x v="2"/>
    <s v="Prospect"/>
    <x v="0"/>
    <s v=""/>
    <m/>
  </r>
  <r>
    <s v="Request"/>
    <s v=""/>
    <s v="6/5/2025"/>
    <x v="0"/>
    <x v="0"/>
    <x v="3"/>
    <s v="Prospect"/>
    <x v="1"/>
    <s v=""/>
    <m/>
  </r>
  <r>
    <s v="Request"/>
    <s v=""/>
    <s v="3/5/2025"/>
    <x v="2"/>
    <x v="0"/>
    <x v="4"/>
    <s v="Prospect"/>
    <x v="2"/>
    <s v="Mohammed Omar_x000a_"/>
    <m/>
  </r>
  <r>
    <s v="Request"/>
    <s v=""/>
    <s v="2/5/2025"/>
    <x v="3"/>
    <x v="0"/>
    <x v="5"/>
    <s v="Prospect"/>
    <x v="1"/>
    <s v=""/>
    <m/>
  </r>
  <r>
    <s v="Request"/>
    <s v=""/>
    <s v="1/5/2025"/>
    <x v="2"/>
    <x v="0"/>
    <x v="6"/>
    <s v="Prospect"/>
    <x v="1"/>
    <s v="The client will visit UAE_x000a_"/>
    <m/>
  </r>
  <r>
    <s v="Request"/>
    <s v=""/>
    <s v="29/4/2025"/>
    <x v="0"/>
    <x v="0"/>
    <x v="7"/>
    <s v="Prospect"/>
    <x v="0"/>
    <s v="Moonphase and 222_x000a_"/>
    <m/>
  </r>
  <r>
    <s v="Request"/>
    <s v=""/>
    <s v="29/4/2025"/>
    <x v="2"/>
    <x v="0"/>
    <x v="8"/>
    <s v="Prospect"/>
    <x v="1"/>
    <s v=""/>
    <m/>
  </r>
  <r>
    <s v="Request"/>
    <s v="Confirmed"/>
    <s v="25/4/2025"/>
    <x v="5"/>
    <x v="0"/>
    <x v="9"/>
    <s v="Prospect"/>
    <x v="0"/>
    <s v="The client is interested in either the bule or green dual time _x000a_"/>
    <m/>
  </r>
  <r>
    <s v="Request"/>
    <s v="Pending client feedback"/>
    <s v="23/4/2025"/>
    <x v="0"/>
    <x v="0"/>
    <x v="10"/>
    <s v="Prospect"/>
    <x v="2"/>
    <s v="order placed for Phone sales._x000a_"/>
    <m/>
  </r>
  <r>
    <s v="Request"/>
    <s v=""/>
    <s v="23/4/2025"/>
    <x v="2"/>
    <x v="0"/>
    <x v="10"/>
    <s v="Prospect"/>
    <x v="2"/>
    <s v="Aziz Ata_x000a_"/>
    <m/>
  </r>
  <r>
    <s v="Sold"/>
    <s v="Confirmed"/>
    <s v="19/4/2025"/>
    <x v="6"/>
    <x v="0"/>
    <x v="11"/>
    <s v="Prospect"/>
    <x v="1"/>
    <s v=""/>
    <m/>
  </r>
  <r>
    <s v="Request"/>
    <s v=""/>
    <s v="19/4/2025"/>
    <x v="0"/>
    <x v="0"/>
    <x v="12"/>
    <s v="Prospect"/>
    <x v="0"/>
    <s v="UAE - Collector AP, RM_x000a_"/>
    <m/>
  </r>
  <r>
    <s v="Request"/>
    <s v=""/>
    <s v="19/4/2025"/>
    <x v="3"/>
    <x v="0"/>
    <x v="12"/>
    <s v="Prospect"/>
    <x v="0"/>
    <s v=""/>
    <m/>
  </r>
  <r>
    <s v="Request"/>
    <s v=""/>
    <s v="19/4/2025"/>
    <x v="2"/>
    <x v="0"/>
    <x v="12"/>
    <s v="Prospect"/>
    <x v="0"/>
    <s v=""/>
    <m/>
  </r>
  <r>
    <s v="Request"/>
    <s v=""/>
    <s v="19/4/2025"/>
    <x v="7"/>
    <x v="0"/>
    <x v="12"/>
    <s v="Prospect"/>
    <x v="0"/>
    <s v=""/>
    <m/>
  </r>
  <r>
    <s v="Request"/>
    <s v=""/>
    <s v="18/4/2025"/>
    <x v="8"/>
    <x v="0"/>
    <x v="13"/>
    <s v="Prospect"/>
    <x v="1"/>
    <s v=""/>
    <m/>
  </r>
  <r>
    <s v="Request"/>
    <s v=""/>
    <s v="18/4/2025"/>
    <x v="3"/>
    <x v="0"/>
    <x v="14"/>
    <s v="Prospect"/>
    <x v="2"/>
    <s v="Erkan Kaya_x000a_"/>
    <m/>
  </r>
  <r>
    <s v="Request"/>
    <s v=""/>
    <s v="17/4/2025"/>
    <x v="9"/>
    <x v="0"/>
    <x v="15"/>
    <s v="Client"/>
    <x v="2"/>
    <s v="Majid Rahman (intrested in Novelties)_x000a_"/>
    <m/>
  </r>
  <r>
    <s v="Request"/>
    <s v=""/>
    <s v="17/4/2025"/>
    <x v="2"/>
    <x v="0"/>
    <x v="16"/>
    <s v="Prospect"/>
    <x v="0"/>
    <s v="KSA 222_x000a_"/>
    <m/>
  </r>
  <r>
    <s v="Request"/>
    <s v=""/>
    <s v="16/4/2025"/>
    <x v="3"/>
    <x v="0"/>
    <x v="17"/>
    <s v="Prospect"/>
    <x v="2"/>
    <s v="Ms. Theresa Jaeger : Gift for her husband birthday_x000a_"/>
    <m/>
  </r>
  <r>
    <s v="Request"/>
    <s v=""/>
    <s v="16/4/2025"/>
    <x v="2"/>
    <x v="0"/>
    <x v="18"/>
    <s v="Prospect"/>
    <x v="2"/>
    <s v="Mr. Abdulelah Bineid : ksa_x000a_"/>
    <m/>
  </r>
  <r>
    <s v="Request"/>
    <s v=""/>
    <s v="16/4/2025"/>
    <x v="10"/>
    <x v="0"/>
    <x v="19"/>
    <s v="Prospect"/>
    <x v="0"/>
    <s v="client showed interest _x000a_"/>
    <m/>
  </r>
  <r>
    <s v="Request"/>
    <s v="Confirmed"/>
    <s v="16/4/2025"/>
    <x v="11"/>
    <x v="0"/>
    <x v="20"/>
    <s v="Prospect"/>
    <x v="0"/>
    <s v="**Managing Director**_x000a__x000a_- **Companies:**_x000a_- **Blue Star Tiles** (real estate/construction) fiftysix black dial _x000a__x000a__x000a_"/>
    <m/>
  </r>
  <r>
    <s v="Request"/>
    <s v=""/>
    <s v="15/4/2025"/>
    <x v="2"/>
    <x v="0"/>
    <x v="21"/>
    <s v="Prospect"/>
    <x v="1"/>
    <s v=""/>
    <m/>
  </r>
  <r>
    <s v="Request"/>
    <s v=""/>
    <s v="15/4/2025"/>
    <x v="2"/>
    <x v="0"/>
    <x v="0"/>
    <s v="Prospect"/>
    <x v="1"/>
    <s v="_x000a_"/>
    <m/>
  </r>
  <r>
    <s v="Cancelled"/>
    <s v="Cancelled"/>
    <s v="12/4/2025"/>
    <x v="0"/>
    <x v="0"/>
    <x v="9"/>
    <s v="Prospect"/>
    <x v="0"/>
    <s v=""/>
    <m/>
  </r>
  <r>
    <s v="Request"/>
    <s v=""/>
    <s v="12/4/2025"/>
    <x v="5"/>
    <x v="0"/>
    <x v="22"/>
    <s v="Prospect"/>
    <x v="0"/>
    <s v="the client owns : Rolex Submariner 126613LB - Rolex Datejust 41 - Rolex Submariner Date 41mm **Target budget ~185,000 AE**  _x000a_"/>
    <m/>
  </r>
  <r>
    <s v="Request"/>
    <s v=""/>
    <s v="9/4/2025"/>
    <x v="2"/>
    <x v="0"/>
    <x v="23"/>
    <s v="Prospect"/>
    <x v="2"/>
    <s v="Ahmed El-Badawy_x000a_"/>
    <m/>
  </r>
  <r>
    <s v="Request"/>
    <s v=""/>
    <s v="8/4/2025"/>
    <x v="12"/>
    <x v="0"/>
    <x v="24"/>
    <s v="Prospect"/>
    <x v="0"/>
    <s v="dual time ksa _x000a_"/>
    <m/>
  </r>
  <r>
    <s v="Request"/>
    <s v=""/>
    <s v="8/4/2025"/>
    <x v="2"/>
    <x v="0"/>
    <x v="25"/>
    <s v="Prospect"/>
    <x v="0"/>
    <s v="222 KSA client - P_x000a_"/>
    <m/>
  </r>
  <r>
    <s v="Request"/>
    <s v=""/>
    <s v="8/4/2025"/>
    <x v="12"/>
    <x v="0"/>
    <x v="2"/>
    <s v="Prospect"/>
    <x v="0"/>
    <s v="the dual  time , _x000a_"/>
    <m/>
  </r>
  <r>
    <s v="Request"/>
    <s v=""/>
    <s v="6/4/2025"/>
    <x v="12"/>
    <x v="0"/>
    <x v="2"/>
    <s v="Prospect"/>
    <x v="0"/>
    <s v="very interested in the dual time and Chronograph _x000a_"/>
    <m/>
  </r>
  <r>
    <s v="Request"/>
    <s v=""/>
    <s v="5/4/2025"/>
    <x v="2"/>
    <x v="0"/>
    <x v="26"/>
    <s v="Prospect"/>
    <x v="0"/>
    <s v="222_x000a_"/>
    <m/>
  </r>
  <r>
    <s v="Request"/>
    <s v=""/>
    <s v="4/4/2025"/>
    <x v="2"/>
    <x v="0"/>
    <x v="27"/>
    <s v="Prospect"/>
    <x v="2"/>
    <s v="Mr. Sultan Al Saud ksa_x000a_"/>
    <m/>
  </r>
  <r>
    <s v="Request"/>
    <s v=""/>
    <s v="4/4/2025"/>
    <x v="2"/>
    <x v="0"/>
    <x v="28"/>
    <s v="Client"/>
    <x v="1"/>
    <s v="0098845999 - 0101108337 client is an owner of OVS dual time. But now he is interested in 222 and requested to be added to the waiting list_x000a_"/>
    <m/>
  </r>
  <r>
    <s v="Request"/>
    <s v=""/>
    <s v="3/4/2025"/>
    <x v="4"/>
    <x v="0"/>
    <x v="29"/>
    <s v="Prospect"/>
    <x v="1"/>
    <s v=""/>
    <m/>
  </r>
  <r>
    <s v="Request"/>
    <s v=""/>
    <s v="3/4/2025"/>
    <x v="3"/>
    <x v="0"/>
    <x v="30"/>
    <s v="Prospect"/>
    <x v="2"/>
    <s v="Mr. Amit Agarwal (india)_x000a_"/>
    <m/>
  </r>
  <r>
    <s v="Request"/>
    <s v=""/>
    <s v="3/4/2025"/>
    <x v="2"/>
    <x v="0"/>
    <x v="31"/>
    <s v="Prospect"/>
    <x v="2"/>
    <s v="Mr. Aliwavip Etowati (Egypt)_x000a_"/>
    <m/>
  </r>
  <r>
    <s v="Request"/>
    <s v=""/>
    <s v="3/4/2025"/>
    <x v="13"/>
    <x v="0"/>
    <x v="32"/>
    <s v="Prospect"/>
    <x v="0"/>
    <s v="222_x000a_"/>
    <m/>
  </r>
  <r>
    <s v="Request"/>
    <s v=""/>
    <s v="3/4/2025"/>
    <x v="2"/>
    <x v="0"/>
    <x v="33"/>
    <s v="Prospect"/>
    <x v="0"/>
    <s v="[Obaid Mubarak Al muhairi](mailto:Obaidmuhairi@gmail.com) | a collector _x000a_"/>
    <m/>
  </r>
  <r>
    <s v="Request"/>
    <s v=""/>
    <s v="3/4/2025"/>
    <x v="14"/>
    <x v="0"/>
    <x v="34"/>
    <s v="Prospect"/>
    <x v="0"/>
    <s v="Fiftysix black dial _x000a_"/>
    <m/>
  </r>
  <r>
    <s v="Request"/>
    <s v=""/>
    <s v="2/4/2025"/>
    <x v="3"/>
    <x v="0"/>
    <x v="35"/>
    <s v="Prospect"/>
    <x v="2"/>
    <s v="Mr. Sameer Rafique_x000a_"/>
    <m/>
  </r>
  <r>
    <s v="Request"/>
    <s v=""/>
    <s v="2/4/2025"/>
    <x v="15"/>
    <x v="0"/>
    <x v="36"/>
    <s v="Prospect"/>
    <x v="2"/>
    <s v="Mr. Vincent Kedikilwe_x000a_"/>
    <m/>
  </r>
  <r>
    <s v="Request"/>
    <s v=""/>
    <s v="2/4/2025"/>
    <x v="2"/>
    <x v="0"/>
    <x v="37"/>
    <s v="Prospect"/>
    <x v="2"/>
    <s v="Salman Almashari ksa_x000a_"/>
    <m/>
  </r>
  <r>
    <s v="Request"/>
    <s v=""/>
    <s v="2/4/2025"/>
    <x v="16"/>
    <x v="0"/>
    <x v="38"/>
    <s v="Prospect"/>
    <x v="0"/>
    <s v=""/>
    <m/>
  </r>
  <r>
    <s v="Request"/>
    <s v=""/>
    <s v="1/4/2025"/>
    <x v="2"/>
    <x v="0"/>
    <x v="39"/>
    <s v="Prospect"/>
    <x v="1"/>
    <s v=""/>
    <m/>
  </r>
  <r>
    <s v="Cancelled"/>
    <s v="Cancelled"/>
    <s v="1/4/2025"/>
    <x v="17"/>
    <x v="0"/>
    <x v="40"/>
    <s v="Prospect"/>
    <x v="1"/>
    <s v="He will visiting the UAE end of April to purchase the Overseas (If available)_x000a_"/>
    <m/>
  </r>
  <r>
    <s v="Request"/>
    <s v=""/>
    <s v="1/4/2025"/>
    <x v="2"/>
    <x v="0"/>
    <x v="41"/>
    <s v="Prospect"/>
    <x v="1"/>
    <s v=""/>
    <m/>
  </r>
  <r>
    <s v="Request"/>
    <s v=""/>
    <s v="1/4/2025"/>
    <x v="3"/>
    <x v="0"/>
    <x v="42"/>
    <s v="Prospect"/>
    <x v="2"/>
    <s v="Ahmed Alhammadi_x000a_"/>
    <m/>
  </r>
  <r>
    <s v="Request"/>
    <s v=""/>
    <s v="29/3/2025"/>
    <x v="2"/>
    <x v="0"/>
    <x v="43"/>
    <s v="Prospect"/>
    <x v="2"/>
    <s v="Mr. Mohamed Eljadi_x000a_"/>
    <m/>
  </r>
  <r>
    <s v="Request"/>
    <s v=""/>
    <s v="29/3/2025"/>
    <x v="2"/>
    <x v="0"/>
    <x v="44"/>
    <s v="Prospect"/>
    <x v="2"/>
    <s v="Mr. Conrad Lee_x000a_"/>
    <m/>
  </r>
  <r>
    <s v="Request"/>
    <s v=""/>
    <s v="29/3/2025"/>
    <x v="2"/>
    <x v="0"/>
    <x v="45"/>
    <s v="Prospect"/>
    <x v="0"/>
    <s v="222 _x000a_"/>
    <m/>
  </r>
  <r>
    <s v="Request"/>
    <s v=""/>
    <s v="29/3/2025"/>
    <x v="2"/>
    <x v="0"/>
    <x v="7"/>
    <s v="Prospect"/>
    <x v="0"/>
    <s v="222_x000a_"/>
    <m/>
  </r>
  <r>
    <s v="Request"/>
    <s v=""/>
    <s v="29/3/2025"/>
    <x v="2"/>
    <x v="0"/>
    <x v="46"/>
    <s v="Client"/>
    <x v="0"/>
    <s v="the 222_x000a_"/>
    <m/>
  </r>
  <r>
    <s v="Request"/>
    <s v=""/>
    <s v="29/3/2025"/>
    <x v="4"/>
    <x v="0"/>
    <x v="47"/>
    <s v="Prospect"/>
    <x v="0"/>
    <s v="OS black dial : 4520V/210A-B483_x000a_"/>
    <m/>
  </r>
  <r>
    <s v="Request"/>
    <s v=""/>
    <s v="29/3/2025"/>
    <x v="12"/>
    <x v="0"/>
    <x v="48"/>
    <s v="Prospect"/>
    <x v="0"/>
    <s v="the client is interested in the Overseas blue dial and paid deposit _x000a_"/>
    <m/>
  </r>
  <r>
    <s v="Request"/>
    <s v=""/>
    <s v="29/3/2025"/>
    <x v="14"/>
    <x v="0"/>
    <x v="20"/>
    <s v="Prospect"/>
    <x v="0"/>
    <s v="Fiftysix self-winding_x000a_"/>
    <m/>
  </r>
  <r>
    <s v="Request"/>
    <s v=""/>
    <s v="28/3/2025"/>
    <x v="3"/>
    <x v="0"/>
    <x v="49"/>
    <s v="Prospect"/>
    <x v="2"/>
    <s v="For his graduation next year :Mr. Lakshya Gupta_x000a_"/>
    <m/>
  </r>
  <r>
    <s v="Request"/>
    <s v=""/>
    <s v="27/3/2025"/>
    <x v="2"/>
    <x v="0"/>
    <x v="50"/>
    <s v="Prospect"/>
    <x v="0"/>
    <s v="222_x000a_"/>
    <m/>
  </r>
  <r>
    <s v="Request"/>
    <s v=""/>
    <s v="25/3/2025"/>
    <x v="12"/>
    <x v="0"/>
    <x v="51"/>
    <s v="Client"/>
    <x v="0"/>
    <s v="the client is coming next week. already own the  \n Overseas chronograph  VMX55AV148_x000a_"/>
    <m/>
  </r>
  <r>
    <s v="Request"/>
    <s v=""/>
    <s v="25/3/2025"/>
    <x v="2"/>
    <x v="0"/>
    <x v="52"/>
    <s v="Prospect"/>
    <x v="0"/>
    <s v="4200H/222A-B934 222_x000a_"/>
    <m/>
  </r>
  <r>
    <s v="Request"/>
    <s v=""/>
    <s v="25/3/2025"/>
    <x v="2"/>
    <x v="0"/>
    <x v="53"/>
    <s v="Prospect"/>
    <x v="1"/>
    <s v=""/>
    <m/>
  </r>
  <r>
    <s v="Request"/>
    <s v=""/>
    <s v="25/3/2025"/>
    <x v="2"/>
    <x v="0"/>
    <x v="54"/>
    <s v="Prospect"/>
    <x v="0"/>
    <s v="222_x000a_"/>
    <m/>
  </r>
  <r>
    <s v="Request"/>
    <s v=""/>
    <s v="25/3/2025"/>
    <x v="3"/>
    <x v="0"/>
    <x v="55"/>
    <s v="Prospect"/>
    <x v="1"/>
    <s v=""/>
    <m/>
  </r>
  <r>
    <s v="Sold"/>
    <s v="Confirmed"/>
    <s v="25/3/2025"/>
    <x v="18"/>
    <x v="0"/>
    <x v="40"/>
    <s v="Prospect"/>
    <x v="1"/>
    <s v=""/>
    <m/>
  </r>
  <r>
    <s v="Request"/>
    <s v=""/>
    <s v="25/3/2025"/>
    <x v="19"/>
    <x v="0"/>
    <x v="56"/>
    <s v="Prospect"/>
    <x v="1"/>
    <s v=""/>
    <m/>
  </r>
  <r>
    <s v="Request"/>
    <s v=""/>
    <s v="22/3/2025"/>
    <x v="2"/>
    <x v="0"/>
    <x v="57"/>
    <s v="Prospect"/>
    <x v="2"/>
    <s v="lives between Dubai and Geneva._x000a_"/>
    <m/>
  </r>
  <r>
    <s v="Request"/>
    <s v=""/>
    <s v="22/3/2025"/>
    <x v="2"/>
    <x v="0"/>
    <x v="58"/>
    <s v="Prospect"/>
    <x v="2"/>
    <s v="elrahmanhefny ksa_x000a_"/>
    <m/>
  </r>
  <r>
    <s v="Request"/>
    <s v=""/>
    <s v="22/3/2025"/>
    <x v="6"/>
    <x v="0"/>
    <x v="59"/>
    <s v="Prospect"/>
    <x v="1"/>
    <s v="The client wishes to purchase his first Vacheron Constantin timepiece in Dubai, as he has a deep appreciation for the city and wants his first VC watch to hold a special connection to it. He is ready to purchase it right away._x000a_"/>
    <m/>
  </r>
  <r>
    <s v="Request"/>
    <s v=""/>
    <s v="19/3/2025"/>
    <x v="20"/>
    <x v="0"/>
    <x v="60"/>
    <s v="Prospect"/>
    <x v="1"/>
    <s v=""/>
    <m/>
  </r>
  <r>
    <s v="Request"/>
    <s v=""/>
    <s v="18/3/2025"/>
    <x v="12"/>
    <x v="0"/>
    <x v="41"/>
    <s v="Prospect"/>
    <x v="1"/>
    <s v=""/>
    <m/>
  </r>
  <r>
    <s v="Request"/>
    <s v=""/>
    <s v="15/3/2025"/>
    <x v="3"/>
    <x v="0"/>
    <x v="61"/>
    <s v="Prospect"/>
    <x v="0"/>
    <s v="b128 no history _x000a_"/>
    <m/>
  </r>
  <r>
    <s v="Request"/>
    <s v=""/>
    <s v="13/3/2025"/>
    <x v="2"/>
    <x v="0"/>
    <x v="62"/>
    <s v="Prospect"/>
    <x v="1"/>
    <s v=""/>
    <m/>
  </r>
  <r>
    <s v="Request"/>
    <s v=""/>
    <s v="13/3/2025"/>
    <x v="4"/>
    <x v="0"/>
    <x v="63"/>
    <s v="Prospect"/>
    <x v="1"/>
    <s v=""/>
    <m/>
  </r>
  <r>
    <s v="Request"/>
    <s v=""/>
    <s v="13/3/2025"/>
    <x v="2"/>
    <x v="0"/>
    <x v="64"/>
    <s v="Prospect"/>
    <x v="0"/>
    <s v="222_x000a_"/>
    <m/>
  </r>
  <r>
    <s v="Request"/>
    <s v=""/>
    <s v="11/3/2025"/>
    <x v="2"/>
    <x v="0"/>
    <x v="65"/>
    <s v="Prospect"/>
    <x v="2"/>
    <s v="Sultan Aldhaher (ksa)_x000a_"/>
    <m/>
  </r>
  <r>
    <s v="Request"/>
    <s v=""/>
    <s v="11/3/2025"/>
    <x v="2"/>
    <x v="0"/>
    <x v="66"/>
    <s v="Prospect"/>
    <x v="1"/>
    <s v=""/>
    <m/>
  </r>
  <r>
    <s v="Request"/>
    <s v=""/>
    <s v="11/3/2025"/>
    <x v="2"/>
    <x v="0"/>
    <x v="67"/>
    <s v="Client"/>
    <x v="0"/>
    <s v="interested in the 222_x000a_"/>
    <m/>
  </r>
  <r>
    <s v="Request"/>
    <s v=""/>
    <s v="11/3/2025"/>
    <x v="2"/>
    <x v="0"/>
    <x v="68"/>
    <s v="Prospect"/>
    <x v="1"/>
    <s v=""/>
    <m/>
  </r>
  <r>
    <s v="Request"/>
    <s v=""/>
    <s v="8/3/2025"/>
    <x v="2"/>
    <x v="0"/>
    <x v="69"/>
    <s v="Prospect"/>
    <x v="0"/>
    <s v="222_x000a_"/>
    <m/>
  </r>
  <r>
    <s v="Request"/>
    <s v=""/>
    <s v="8/3/2025"/>
    <x v="21"/>
    <x v="0"/>
    <x v="70"/>
    <s v="Prospect"/>
    <x v="0"/>
    <s v="_x000a_"/>
    <m/>
  </r>
  <r>
    <s v="Request"/>
    <s v=""/>
    <s v="8/3/2025"/>
    <x v="5"/>
    <x v="0"/>
    <x v="71"/>
    <s v="Prospect"/>
    <x v="0"/>
    <s v="Dual time green _x000a_"/>
    <m/>
  </r>
  <r>
    <s v="Request"/>
    <s v=""/>
    <s v="7/3/2025"/>
    <x v="2"/>
    <x v="0"/>
    <x v="72"/>
    <s v="Prospect"/>
    <x v="2"/>
    <s v="Mr. Fida Hussain_x000a_"/>
    <m/>
  </r>
  <r>
    <s v="Request"/>
    <s v=""/>
    <s v="7/3/2025"/>
    <x v="2"/>
    <x v="0"/>
    <x v="73"/>
    <s v="Prospect"/>
    <x v="2"/>
    <s v="Abdullaziz Alshreef : KSA_x000a_"/>
    <m/>
  </r>
  <r>
    <s v="Request"/>
    <s v=""/>
    <s v="7/3/2025"/>
    <x v="2"/>
    <x v="0"/>
    <x v="74"/>
    <s v="Prospect"/>
    <x v="2"/>
    <s v="Alhasan Alkindi_x000a_"/>
    <m/>
  </r>
  <r>
    <s v="Request"/>
    <s v=""/>
    <s v="7/3/2025"/>
    <x v="2"/>
    <x v="0"/>
    <x v="75"/>
    <s v="Prospect"/>
    <x v="2"/>
    <s v="Andrey Karpov_x000a_"/>
    <m/>
  </r>
  <r>
    <s v="Request"/>
    <s v=""/>
    <s v="7/3/2025"/>
    <x v="2"/>
    <x v="0"/>
    <x v="48"/>
    <s v="Prospect"/>
    <x v="0"/>
    <s v="222 _x000a_"/>
    <m/>
  </r>
  <r>
    <s v="Request"/>
    <s v=""/>
    <s v="7/3/2025"/>
    <x v="2"/>
    <x v="0"/>
    <x v="76"/>
    <s v="Prospect"/>
    <x v="0"/>
    <s v="222_x000a_"/>
    <m/>
  </r>
  <r>
    <s v="Request"/>
    <s v=""/>
    <s v="6/3/2025"/>
    <x v="3"/>
    <x v="0"/>
    <x v="77"/>
    <s v="Prospect"/>
    <x v="2"/>
    <s v="DR Ali Aldhanhani_x000a_"/>
    <m/>
  </r>
  <r>
    <s v="Request"/>
    <s v=""/>
    <s v="5/3/2025"/>
    <x v="2"/>
    <x v="0"/>
    <x v="78"/>
    <s v="Prospect"/>
    <x v="0"/>
    <s v="222_x000a_"/>
    <m/>
  </r>
  <r>
    <s v="Request"/>
    <s v=""/>
    <s v="5/3/2025"/>
    <x v="2"/>
    <x v="0"/>
    <x v="79"/>
    <s v="Prospect"/>
    <x v="0"/>
    <s v="222_x000a_"/>
    <m/>
  </r>
  <r>
    <s v="Request"/>
    <s v=""/>
    <s v="4/3/2025"/>
    <x v="2"/>
    <x v="0"/>
    <x v="80"/>
    <s v="Prospect"/>
    <x v="2"/>
    <s v="Mr. Peter AROKIANATHAN (ksa)_x000a_"/>
    <m/>
  </r>
  <r>
    <s v="Request"/>
    <s v=""/>
    <s v="4/3/2025"/>
    <x v="22"/>
    <x v="0"/>
    <x v="81"/>
    <s v="Prospect"/>
    <x v="1"/>
    <s v="Would like the pick up to be end of Dec first of Jan_x000a_"/>
    <m/>
  </r>
  <r>
    <s v="Request"/>
    <s v=""/>
    <s v="4/3/2025"/>
    <x v="5"/>
    <x v="0"/>
    <x v="81"/>
    <s v="Prospect"/>
    <x v="1"/>
    <s v=""/>
    <m/>
  </r>
  <r>
    <s v="Request"/>
    <s v=""/>
    <s v="4/3/2025"/>
    <x v="2"/>
    <x v="0"/>
    <x v="82"/>
    <s v="Prospect"/>
    <x v="1"/>
    <s v=""/>
    <m/>
  </r>
  <r>
    <s v="Request"/>
    <s v=""/>
    <s v="4/3/2025"/>
    <x v="2"/>
    <x v="0"/>
    <x v="83"/>
    <s v="Prospect"/>
    <x v="1"/>
    <s v=""/>
    <m/>
  </r>
  <r>
    <s v="Request"/>
    <s v=""/>
    <s v="4/3/2025"/>
    <x v="6"/>
    <x v="0"/>
    <x v="84"/>
    <s v="Prospect"/>
    <x v="0"/>
    <s v="the client is interested in the dual and Chronograph black dial _x000a_"/>
    <m/>
  </r>
  <r>
    <s v="Request"/>
    <s v=""/>
    <s v="1/3/2025"/>
    <x v="2"/>
    <x v="0"/>
    <x v="85"/>
    <s v="Prospect"/>
    <x v="0"/>
    <s v="interested in the 222 and dual time _x000a_"/>
    <m/>
  </r>
  <r>
    <s v="Request"/>
    <s v=""/>
    <s v="1/3/2025"/>
    <x v="13"/>
    <x v="0"/>
    <x v="86"/>
    <s v="Prospect"/>
    <x v="0"/>
    <s v="the client intrested in the 222_x000a_"/>
    <m/>
  </r>
  <r>
    <s v="Request"/>
    <s v=""/>
    <s v="1/3/2025"/>
    <x v="2"/>
    <x v="0"/>
    <x v="87"/>
    <s v="Prospect"/>
    <x v="0"/>
    <s v="the client is interested _x000a_"/>
    <m/>
  </r>
  <r>
    <s v="Request"/>
    <s v=""/>
    <s v="1/3/2025"/>
    <x v="23"/>
    <x v="0"/>
    <x v="70"/>
    <s v="Prospect"/>
    <x v="0"/>
    <s v="The client specializes in auto tuning, automatic watches, and exclusive key fobs. His uncle has a strong interest in Traditionnelle and Overseas collections, particularly the tourbillon editions_x000a_"/>
    <m/>
  </r>
  <r>
    <s v="Request"/>
    <s v=""/>
    <s v="1/3/2025"/>
    <x v="3"/>
    <x v="0"/>
    <x v="88"/>
    <s v="Prospect"/>
    <x v="0"/>
    <s v="the client main aim is the 222 and the 128 _x000a_"/>
    <m/>
  </r>
  <r>
    <s v="Request"/>
    <s v=""/>
    <s v="28/2/2025"/>
    <x v="2"/>
    <x v="0"/>
    <x v="89"/>
    <s v=""/>
    <x v="0"/>
    <s v="interested in the 222_x000a_"/>
    <m/>
  </r>
  <r>
    <s v="Request"/>
    <s v=""/>
    <s v="28/2/2025"/>
    <x v="2"/>
    <x v="0"/>
    <x v="90"/>
    <s v="Prospect"/>
    <x v="0"/>
    <s v="222_x000a_"/>
    <m/>
  </r>
  <r>
    <s v="Request"/>
    <s v=""/>
    <s v="28/2/2025"/>
    <x v="7"/>
    <x v="0"/>
    <x v="91"/>
    <s v="Prospect"/>
    <x v="0"/>
    <s v=""/>
    <m/>
  </r>
  <r>
    <s v="Request"/>
    <s v=""/>
    <s v="28/2/2025"/>
    <x v="2"/>
    <x v="0"/>
    <x v="91"/>
    <s v="Prospect"/>
    <x v="0"/>
    <s v="222_x000a_"/>
    <m/>
  </r>
  <r>
    <s v="Request"/>
    <s v=""/>
    <s v="27/2/2025"/>
    <x v="12"/>
    <x v="0"/>
    <x v="92"/>
    <s v=""/>
    <x v="0"/>
    <s v="222 Fam_x000a_"/>
    <m/>
  </r>
  <r>
    <s v="Request"/>
    <s v=""/>
    <s v="27/2/2025"/>
    <x v="2"/>
    <x v="0"/>
    <x v="93"/>
    <s v=""/>
    <x v="2"/>
    <s v="Mr. Sultan Al Faisal (ksa)_x000a_"/>
    <m/>
  </r>
  <r>
    <s v="Request"/>
    <s v=""/>
    <s v="27/2/2025"/>
    <x v="3"/>
    <x v="0"/>
    <x v="94"/>
    <s v=""/>
    <x v="2"/>
    <s v="Mr. Tauqeer Dawood_x000a_"/>
    <m/>
  </r>
  <r>
    <s v="Request"/>
    <s v=""/>
    <s v="27/2/2025"/>
    <x v="2"/>
    <x v="0"/>
    <x v="95"/>
    <s v=""/>
    <x v="0"/>
    <s v="222 Blue_x000a_"/>
    <m/>
  </r>
  <r>
    <s v="Request"/>
    <s v=""/>
    <s v="27/2/2025"/>
    <x v="2"/>
    <x v="0"/>
    <x v="96"/>
    <s v=""/>
    <x v="0"/>
    <s v="The client is always between  Riyadh and Dubai and want the 222_x000a_"/>
    <m/>
  </r>
  <r>
    <s v="Request"/>
    <s v=""/>
    <s v="27/2/2025"/>
    <x v="2"/>
    <x v="0"/>
    <x v="97"/>
    <s v=""/>
    <x v="0"/>
    <s v="The client is very interested KW _x000a_"/>
    <m/>
  </r>
  <r>
    <s v="Request"/>
    <s v=""/>
    <s v="27/2/2025"/>
    <x v="2"/>
    <x v="0"/>
    <x v="50"/>
    <s v="Prospect"/>
    <x v="0"/>
    <s v="222_x000a_"/>
    <m/>
  </r>
  <r>
    <s v="Request"/>
    <s v=""/>
    <s v="25/2/2025"/>
    <x v="2"/>
    <x v="0"/>
    <x v="98"/>
    <s v=""/>
    <x v="0"/>
    <s v="222_x000a_"/>
    <m/>
  </r>
  <r>
    <s v="Request"/>
    <s v=""/>
    <s v="25/2/2025"/>
    <x v="2"/>
    <x v="0"/>
    <x v="99"/>
    <s v=""/>
    <x v="0"/>
    <s v="222_x000a_"/>
    <m/>
  </r>
  <r>
    <s v="Request"/>
    <s v=""/>
    <s v="25/2/2025"/>
    <x v="2"/>
    <x v="0"/>
    <x v="100"/>
    <s v=""/>
    <x v="0"/>
    <s v="222 gcc _x000a_"/>
    <m/>
  </r>
  <r>
    <s v="Request"/>
    <s v=""/>
    <s v="25/2/2025"/>
    <x v="2"/>
    <x v="0"/>
    <x v="101"/>
    <s v=""/>
    <x v="0"/>
    <s v="222_x000a_"/>
    <m/>
  </r>
  <r>
    <s v="Request"/>
    <s v=""/>
    <s v="21/2/2025"/>
    <x v="2"/>
    <x v="0"/>
    <x v="102"/>
    <s v="Client"/>
    <x v="2"/>
    <s v="Mr. Ronnie Anbouba_x000a_"/>
    <m/>
  </r>
  <r>
    <s v="Request"/>
    <s v=""/>
    <s v="20/2/2025"/>
    <x v="2"/>
    <x v="0"/>
    <x v="103"/>
    <s v="Prospect"/>
    <x v="0"/>
    <s v="interested in the 222_x000a_"/>
    <m/>
  </r>
  <r>
    <s v="Request"/>
    <s v=""/>
    <s v="19/2/2025"/>
    <x v="3"/>
    <x v="0"/>
    <x v="104"/>
    <s v="Prospect"/>
    <x v="2"/>
    <s v="Mr. Arkan Khedair_x000a__x000a__x000a_"/>
    <m/>
  </r>
  <r>
    <s v="Request"/>
    <s v=""/>
    <s v="19/2/2025"/>
    <x v="2"/>
    <x v="0"/>
    <x v="101"/>
    <s v=""/>
    <x v="0"/>
    <s v=""/>
    <m/>
  </r>
  <r>
    <s v="Request"/>
    <s v=""/>
    <s v="19/2/2025"/>
    <x v="18"/>
    <x v="0"/>
    <x v="105"/>
    <s v="Prospect"/>
    <x v="0"/>
    <s v="the client would like to reserve  Overseas chronograph_x000a_"/>
    <m/>
  </r>
  <r>
    <s v="Request"/>
    <s v=""/>
    <s v="18/2/2025"/>
    <x v="2"/>
    <x v="0"/>
    <x v="106"/>
    <s v="Prospect"/>
    <x v="2"/>
    <s v="Mr. Humaid Shaikh_x000a_"/>
    <m/>
  </r>
  <r>
    <s v="Request"/>
    <s v=""/>
    <s v="18/2/2025"/>
    <x v="2"/>
    <x v="0"/>
    <x v="107"/>
    <s v="Prospect"/>
    <x v="2"/>
    <s v="Mr. Mohamed Alsuwaidi_x000a_"/>
    <m/>
  </r>
  <r>
    <s v="Request"/>
    <s v=""/>
    <s v="18/2/2025"/>
    <x v="2"/>
    <x v="0"/>
    <x v="108"/>
    <s v="Prospect"/>
    <x v="2"/>
    <s v="Hussain Mohamed_x000a_"/>
    <m/>
  </r>
  <r>
    <s v="Request"/>
    <s v=""/>
    <s v="15/2/2025"/>
    <x v="8"/>
    <x v="0"/>
    <x v="109"/>
    <s v="Prospect"/>
    <x v="0"/>
    <s v="the client is very interested in the Overseas chronograph_x000a__x000a_and willing to secure it via payment link _x000a_"/>
    <m/>
  </r>
  <r>
    <s v="Request"/>
    <s v=""/>
    <s v="13/2/2025"/>
    <x v="2"/>
    <x v="0"/>
    <x v="110"/>
    <s v="Prospect"/>
    <x v="1"/>
    <s v=""/>
    <m/>
  </r>
  <r>
    <s v="Request"/>
    <s v=""/>
    <s v="13/2/2025"/>
    <x v="2"/>
    <x v="0"/>
    <x v="111"/>
    <s v="Prospect"/>
    <x v="2"/>
    <s v="Roman Heinrichs_x000a_"/>
    <m/>
  </r>
  <r>
    <s v="Request"/>
    <s v=""/>
    <s v="12/2/2025"/>
    <x v="2"/>
    <x v="0"/>
    <x v="112"/>
    <s v="Prospect"/>
    <x v="1"/>
    <s v=""/>
    <m/>
  </r>
  <r>
    <s v="Request"/>
    <s v=""/>
    <s v="12/2/2025"/>
    <x v="2"/>
    <x v="0"/>
    <x v="113"/>
    <s v="Prospect"/>
    <x v="2"/>
    <s v="Arthur Sarkisian_x000a_"/>
    <m/>
  </r>
  <r>
    <s v="Request"/>
    <s v=""/>
    <s v="11/2/2025"/>
    <x v="2"/>
    <x v="0"/>
    <x v="114"/>
    <s v="Prospect"/>
    <x v="1"/>
    <s v=""/>
    <m/>
  </r>
  <r>
    <s v="Cancelled"/>
    <s v="Cancelled"/>
    <s v="11/2/2025"/>
    <x v="12"/>
    <x v="0"/>
    <x v="114"/>
    <s v="Prospect"/>
    <x v="1"/>
    <s v=""/>
    <m/>
  </r>
  <r>
    <s v="Request"/>
    <s v=""/>
    <s v="11/2/2025"/>
    <x v="2"/>
    <x v="0"/>
    <x v="115"/>
    <s v="Prospect"/>
    <x v="2"/>
    <s v="Mr. Mostafa Gheita_x000a_"/>
    <m/>
  </r>
  <r>
    <s v="Request"/>
    <s v=""/>
    <s v="11/2/2025"/>
    <x v="8"/>
    <x v="0"/>
    <x v="116"/>
    <s v="Prospect"/>
    <x v="2"/>
    <s v="Mr. Omar Alamoodi_x000a_"/>
    <m/>
  </r>
  <r>
    <s v="Request"/>
    <s v=""/>
    <s v="11/2/2025"/>
    <x v="2"/>
    <x v="0"/>
    <x v="117"/>
    <s v="Prospect"/>
    <x v="1"/>
    <s v=""/>
    <m/>
  </r>
  <r>
    <s v="Request"/>
    <s v=""/>
    <s v="7/2/2025"/>
    <x v="2"/>
    <x v="0"/>
    <x v="118"/>
    <s v="Prospect"/>
    <x v="1"/>
    <s v=""/>
    <m/>
  </r>
  <r>
    <s v="Request"/>
    <s v=""/>
    <s v="7/2/2025"/>
    <x v="2"/>
    <x v="0"/>
    <x v="119"/>
    <s v="Prospect"/>
    <x v="1"/>
    <s v=""/>
    <m/>
  </r>
  <r>
    <s v="Request"/>
    <s v=""/>
    <s v="7/2/2025"/>
    <x v="8"/>
    <x v="0"/>
    <x v="120"/>
    <s v="Prospect"/>
    <x v="0"/>
    <s v=""/>
    <m/>
  </r>
  <r>
    <s v="Request"/>
    <s v=""/>
    <s v="5/2/2025"/>
    <x v="3"/>
    <x v="0"/>
    <x v="121"/>
    <s v="Prospect"/>
    <x v="2"/>
    <s v="Mr. Benjamin Ping_x000a_"/>
    <m/>
  </r>
  <r>
    <s v="Request"/>
    <s v=""/>
    <s v="5/2/2025"/>
    <x v="2"/>
    <x v="0"/>
    <x v="122"/>
    <s v="Client"/>
    <x v="1"/>
    <s v=""/>
    <m/>
  </r>
  <r>
    <s v="Request"/>
    <s v=""/>
    <s v="5/2/2025"/>
    <x v="18"/>
    <x v="0"/>
    <x v="105"/>
    <s v="Prospect"/>
    <x v="0"/>
    <s v="_x000a_"/>
    <m/>
  </r>
  <r>
    <s v="Request"/>
    <s v=""/>
    <s v="4/2/2025"/>
    <x v="12"/>
    <x v="0"/>
    <x v="123"/>
    <s v="Prospect"/>
    <x v="2"/>
    <s v="Ahmad Alsadhan (ksa)_x000a_"/>
    <m/>
  </r>
  <r>
    <s v="Request"/>
    <s v=""/>
    <s v="4/2/2025"/>
    <x v="24"/>
    <x v="0"/>
    <x v="124"/>
    <s v="Prospect"/>
    <x v="2"/>
    <s v="Mr. Rayan Mansouri / ksa/ contacted on whatsapp as well._x000a_"/>
    <m/>
  </r>
  <r>
    <s v="Request"/>
    <s v=""/>
    <s v="4/2/2025"/>
    <x v="2"/>
    <x v="0"/>
    <x v="124"/>
    <s v="Prospect"/>
    <x v="2"/>
    <s v="Rayan Mansouri ksa_x000a_"/>
    <m/>
  </r>
  <r>
    <s v="Request"/>
    <s v=""/>
    <s v="4/2/2025"/>
    <x v="24"/>
    <x v="0"/>
    <x v="112"/>
    <s v="Prospect"/>
    <x v="1"/>
    <s v=""/>
    <m/>
  </r>
  <r>
    <s v="Request"/>
    <s v=""/>
    <s v="4/2/2025"/>
    <x v="2"/>
    <x v="0"/>
    <x v="125"/>
    <s v="Prospect"/>
    <x v="1"/>
    <s v=""/>
    <m/>
  </r>
  <r>
    <s v="Request"/>
    <s v=""/>
    <s v="4/2/2025"/>
    <x v="2"/>
    <x v="0"/>
    <x v="126"/>
    <s v="Prospect"/>
    <x v="1"/>
    <s v=""/>
    <m/>
  </r>
  <r>
    <s v="Request"/>
    <s v=""/>
    <s v="4/2/2025"/>
    <x v="2"/>
    <x v="0"/>
    <x v="127"/>
    <s v="Prospect"/>
    <x v="1"/>
    <s v=""/>
    <m/>
  </r>
  <r>
    <s v="Request"/>
    <s v=""/>
    <s v="4/2/2025"/>
    <x v="25"/>
    <x v="0"/>
    <x v="128"/>
    <s v="Prospect"/>
    <x v="0"/>
    <s v="The client interested in the 222 gold and steel as well the Patrimony and Historiques _x000a_"/>
    <m/>
  </r>
  <r>
    <s v="Request"/>
    <s v=""/>
    <s v="4/2/2025"/>
    <x v="13"/>
    <x v="0"/>
    <x v="128"/>
    <s v="Prospect"/>
    <x v="0"/>
    <s v="Clinet is intrested in the 222 _x000a_"/>
    <m/>
  </r>
  <r>
    <s v="Request"/>
    <s v=""/>
    <s v="4/2/2025"/>
    <x v="0"/>
    <x v="0"/>
    <x v="129"/>
    <s v="Prospect"/>
    <x v="0"/>
    <s v="the client want to purchase this timepeice , to gift it to his father _x000a_"/>
    <m/>
  </r>
  <r>
    <s v="Request"/>
    <s v=""/>
    <s v="31/1/2025"/>
    <x v="2"/>
    <x v="0"/>
    <x v="130"/>
    <s v="Prospect"/>
    <x v="1"/>
    <s v=""/>
    <m/>
  </r>
  <r>
    <s v="Request"/>
    <s v=""/>
    <s v="31/1/2025"/>
    <x v="4"/>
    <x v="0"/>
    <x v="131"/>
    <s v="Prospect"/>
    <x v="1"/>
    <s v="The client will visit UAE in 2 years and would want to collect it_x000a_"/>
    <m/>
  </r>
  <r>
    <s v="Request"/>
    <s v=""/>
    <s v="30/1/2025"/>
    <x v="2"/>
    <x v="0"/>
    <x v="132"/>
    <s v="Prospect"/>
    <x v="1"/>
    <s v=""/>
    <m/>
  </r>
  <r>
    <s v="Sold"/>
    <s v="Confirmed"/>
    <s v="30/1/2025"/>
    <x v="12"/>
    <x v="0"/>
    <x v="133"/>
    <s v="Prospect"/>
    <x v="2"/>
    <s v="Ahmad Al Sadhan (KSA)_x000a_"/>
    <m/>
  </r>
  <r>
    <s v="Request"/>
    <s v=""/>
    <s v="30/1/2025"/>
    <x v="2"/>
    <x v="0"/>
    <x v="103"/>
    <s v="Prospect"/>
    <x v="0"/>
    <s v=""/>
    <m/>
  </r>
  <r>
    <s v="Cancelled"/>
    <s v="Cancelled"/>
    <s v="30/1/2025"/>
    <x v="13"/>
    <x v="0"/>
    <x v="134"/>
    <s v="Prospect"/>
    <x v="2"/>
    <s v="Mr. Ravi Borkar interested in the 222 gold and steel. by March._x000a_"/>
    <m/>
  </r>
  <r>
    <s v="Request"/>
    <s v=""/>
    <s v="29/1/2025"/>
    <x v="26"/>
    <x v="0"/>
    <x v="135"/>
    <s v="Prospect"/>
    <x v="0"/>
    <s v="the client is interested Overseas perpetual calendar_x000a_"/>
    <m/>
  </r>
  <r>
    <s v="Request"/>
    <s v=""/>
    <s v="29/1/2025"/>
    <x v="12"/>
    <x v="0"/>
    <x v="136"/>
    <s v="Prospect"/>
    <x v="0"/>
    <s v="The client is very intrested in blue and black dual time , aslo he his availability for appointments at the Dubai Mall boutique on the evening of **February 9**, the m**orning of February 11,** **and February 13**, if the watch is available to purchase_x000a_"/>
    <m/>
  </r>
  <r>
    <s v="Request"/>
    <s v=""/>
    <s v="29/1/2025"/>
    <x v="6"/>
    <x v="0"/>
    <x v="136"/>
    <s v="Prospect"/>
    <x v="0"/>
    <s v="the client mentions his availability for appointments at the Dubai Mall boutique on the evening of February 9, the morning of February 11, and February 13, if the watch is available._x000a_"/>
    <m/>
  </r>
  <r>
    <s v="Request"/>
    <s v=""/>
    <s v="29/1/2025"/>
    <x v="2"/>
    <x v="0"/>
    <x v="136"/>
    <s v="Prospect"/>
    <x v="0"/>
    <s v=""/>
    <m/>
  </r>
  <r>
    <s v="Request"/>
    <s v=""/>
    <s v="28/1/2025"/>
    <x v="2"/>
    <x v="0"/>
    <x v="137"/>
    <s v="Prospect"/>
    <x v="1"/>
    <s v=""/>
    <m/>
  </r>
  <r>
    <s v="Request"/>
    <s v=""/>
    <s v="28/1/2025"/>
    <x v="3"/>
    <x v="0"/>
    <x v="138"/>
    <s v="Prospect"/>
    <x v="1"/>
    <s v=""/>
    <m/>
  </r>
  <r>
    <s v="Request"/>
    <s v=""/>
    <s v="28/1/2025"/>
    <x v="2"/>
    <x v="0"/>
    <x v="139"/>
    <s v="Prospect"/>
    <x v="1"/>
    <s v=""/>
    <m/>
  </r>
  <r>
    <s v="Request"/>
    <s v=""/>
    <s v="28/1/2025"/>
    <x v="12"/>
    <x v="0"/>
    <x v="140"/>
    <s v="Prospect"/>
    <x v="1"/>
    <s v=""/>
    <m/>
  </r>
  <r>
    <s v="Request"/>
    <s v=""/>
    <s v="28/1/2025"/>
    <x v="2"/>
    <x v="0"/>
    <x v="141"/>
    <s v="Prospect"/>
    <x v="1"/>
    <s v=""/>
    <m/>
  </r>
  <r>
    <s v="Request"/>
    <s v=""/>
    <s v="27/1/2025"/>
    <x v="27"/>
    <x v="0"/>
    <x v="142"/>
    <s v="Prospect"/>
    <x v="1"/>
    <s v=""/>
    <m/>
  </r>
  <r>
    <s v="Request"/>
    <s v=""/>
    <s v="27/1/2025"/>
    <x v="2"/>
    <x v="0"/>
    <x v="143"/>
    <s v="Prospect"/>
    <x v="0"/>
    <s v=""/>
    <m/>
  </r>
  <r>
    <s v="Request"/>
    <s v=""/>
    <s v="27/1/2025"/>
    <x v="2"/>
    <x v="0"/>
    <x v="144"/>
    <s v="Prospect"/>
    <x v="0"/>
    <s v=""/>
    <m/>
  </r>
  <r>
    <s v="Request"/>
    <s v=""/>
    <s v="25/1/2025"/>
    <x v="2"/>
    <x v="0"/>
    <x v="145"/>
    <s v="Prospect"/>
    <x v="1"/>
    <s v=""/>
    <m/>
  </r>
  <r>
    <s v="Request"/>
    <s v=""/>
    <s v="25/1/2025"/>
    <x v="2"/>
    <x v="0"/>
    <x v="146"/>
    <s v="Prospect"/>
    <x v="0"/>
    <s v=""/>
    <m/>
  </r>
  <r>
    <s v="Request"/>
    <s v=""/>
    <s v="25/1/2025"/>
    <x v="2"/>
    <x v="0"/>
    <x v="147"/>
    <s v="Prospect"/>
    <x v="2"/>
    <s v="Mr. Abdullah Alomari (ksa)_x000a_"/>
    <m/>
  </r>
  <r>
    <s v="Request"/>
    <s v=""/>
    <s v="25/1/2025"/>
    <x v="2"/>
    <x v="0"/>
    <x v="148"/>
    <s v="Prospect"/>
    <x v="2"/>
    <s v="Mr. Fawaz Aljaseer (ksa)_x000a_"/>
    <m/>
  </r>
  <r>
    <s v="Request"/>
    <s v=""/>
    <s v="24/1/2025"/>
    <x v="12"/>
    <x v="0"/>
    <x v="149"/>
    <s v="Prospect"/>
    <x v="0"/>
    <s v=""/>
    <m/>
  </r>
  <r>
    <s v="Request"/>
    <s v=""/>
    <s v="22/1/2025"/>
    <x v="2"/>
    <x v="0"/>
    <x v="150"/>
    <s v="Prospect"/>
    <x v="1"/>
    <s v=""/>
    <m/>
  </r>
  <r>
    <s v="Request"/>
    <s v=""/>
    <s v="22/1/2025"/>
    <x v="2"/>
    <x v="0"/>
    <x v="151"/>
    <s v="Prospect"/>
    <x v="2"/>
    <s v="Sheikh Sultan Althani (KSA)_x000a_"/>
    <m/>
  </r>
  <r>
    <s v="Request"/>
    <s v=""/>
    <s v="22/1/2025"/>
    <x v="13"/>
    <x v="0"/>
    <x v="152"/>
    <s v="Prospect"/>
    <x v="0"/>
    <s v="The client was referred by my client and he's interested in the Gold 222_x000a_"/>
    <m/>
  </r>
  <r>
    <s v="Request"/>
    <s v=""/>
    <s v="22/1/2025"/>
    <x v="2"/>
    <x v="0"/>
    <x v="153"/>
    <s v="Prospect"/>
    <x v="2"/>
    <s v="Mr. Abdulrhman Bajaber (KSA)_x000a_"/>
    <m/>
  </r>
  <r>
    <s v="Request"/>
    <s v=""/>
    <s v="21/1/2025"/>
    <x v="2"/>
    <x v="0"/>
    <x v="154"/>
    <s v="Prospect"/>
    <x v="1"/>
    <s v=""/>
    <m/>
  </r>
  <r>
    <s v="Request"/>
    <s v=""/>
    <s v="21/1/2025"/>
    <x v="7"/>
    <x v="0"/>
    <x v="155"/>
    <s v="Client"/>
    <x v="0"/>
    <s v="the client is intrested in this timepeice and aiming as well for the 222_x000a_"/>
    <m/>
  </r>
  <r>
    <s v="Request"/>
    <s v=""/>
    <s v="21/1/2025"/>
    <x v="2"/>
    <x v="0"/>
    <x v="156"/>
    <s v="Prospect"/>
    <x v="1"/>
    <s v=""/>
    <m/>
  </r>
  <r>
    <s v="Request"/>
    <s v=""/>
    <s v="21/1/2025"/>
    <x v="2"/>
    <x v="0"/>
    <x v="157"/>
    <s v="Prospect"/>
    <x v="2"/>
    <s v="Mr Ragheb Alshakhshir_x000a_"/>
    <m/>
  </r>
  <r>
    <s v="Request"/>
    <s v=""/>
    <s v="21/1/2025"/>
    <x v="2"/>
    <x v="0"/>
    <x v="158"/>
    <s v="Prospect"/>
    <x v="2"/>
    <s v="Mr. Mohammed Bafail (Ksa)_x000a_"/>
    <m/>
  </r>
  <r>
    <s v="Request"/>
    <s v=""/>
    <s v="20/1/2025"/>
    <x v="2"/>
    <x v="0"/>
    <x v="159"/>
    <s v="Prospect"/>
    <x v="0"/>
    <s v=""/>
    <m/>
  </r>
  <r>
    <s v="Request"/>
    <s v=""/>
    <s v="20/1/2025"/>
    <x v="2"/>
    <x v="0"/>
    <x v="160"/>
    <s v="Prospect"/>
    <x v="0"/>
    <s v=""/>
    <m/>
  </r>
  <r>
    <s v="Request"/>
    <s v=""/>
    <s v="20/1/2025"/>
    <x v="2"/>
    <x v="0"/>
    <x v="161"/>
    <s v="Prospect"/>
    <x v="0"/>
    <s v="Very interested client _x000a_"/>
    <m/>
  </r>
  <r>
    <s v="Request"/>
    <s v=""/>
    <s v="18/1/2025"/>
    <x v="2"/>
    <x v="0"/>
    <x v="162"/>
    <s v="Prospect"/>
    <x v="1"/>
    <s v=""/>
    <m/>
  </r>
  <r>
    <s v="Request"/>
    <s v=""/>
    <s v="18/1/2025"/>
    <x v="2"/>
    <x v="0"/>
    <x v="163"/>
    <s v="Prospect"/>
    <x v="2"/>
    <s v="Rakan Alrashed (ksa)_x000a_"/>
    <m/>
  </r>
  <r>
    <s v="Request"/>
    <s v=""/>
    <s v="18/1/2025"/>
    <x v="2"/>
    <x v="0"/>
    <x v="86"/>
    <s v="Prospect"/>
    <x v="0"/>
    <s v=""/>
    <m/>
  </r>
  <r>
    <s v="Request"/>
    <s v=""/>
    <s v="18/1/2025"/>
    <x v="2"/>
    <x v="0"/>
    <x v="159"/>
    <s v="Prospect"/>
    <x v="0"/>
    <s v=""/>
    <m/>
  </r>
  <r>
    <s v="Request"/>
    <s v=""/>
    <s v="18/1/2025"/>
    <x v="2"/>
    <x v="0"/>
    <x v="164"/>
    <s v="Prospect"/>
    <x v="0"/>
    <s v="Leo Dogan_x000a_"/>
    <m/>
  </r>
  <r>
    <s v="Request"/>
    <s v=""/>
    <s v="18/1/2025"/>
    <x v="3"/>
    <x v="0"/>
    <x v="165"/>
    <s v="Prospect"/>
    <x v="1"/>
    <s v=""/>
    <m/>
  </r>
  <r>
    <s v="Request"/>
    <s v=""/>
    <s v="18/1/2025"/>
    <x v="2"/>
    <x v="0"/>
    <x v="166"/>
    <s v="Client"/>
    <x v="0"/>
    <s v=""/>
    <m/>
  </r>
  <r>
    <s v="Request"/>
    <s v=""/>
    <s v="18/1/2025"/>
    <x v="2"/>
    <x v="0"/>
    <x v="165"/>
    <s v="Prospect"/>
    <x v="1"/>
    <s v=""/>
    <m/>
  </r>
  <r>
    <s v="Request"/>
    <s v=""/>
    <s v="18/1/2025"/>
    <x v="8"/>
    <x v="0"/>
    <x v="165"/>
    <s v="Prospect"/>
    <x v="1"/>
    <s v=""/>
    <m/>
  </r>
  <r>
    <s v="Request"/>
    <s v=""/>
    <s v="18/1/2025"/>
    <x v="2"/>
    <x v="0"/>
    <x v="167"/>
    <s v="Prospect"/>
    <x v="0"/>
    <s v=""/>
    <m/>
  </r>
  <r>
    <s v="Request"/>
    <s v=""/>
    <s v="18/1/2025"/>
    <x v="2"/>
    <x v="0"/>
    <x v="88"/>
    <s v="Prospect"/>
    <x v="0"/>
    <s v=""/>
    <m/>
  </r>
  <r>
    <s v="Request"/>
    <s v=""/>
    <s v="18/1/2025"/>
    <x v="2"/>
    <x v="0"/>
    <x v="86"/>
    <s v="Prospect"/>
    <x v="0"/>
    <s v=""/>
    <m/>
  </r>
  <r>
    <s v="Request"/>
    <s v=""/>
    <s v="18/1/2025"/>
    <x v="2"/>
    <x v="0"/>
    <x v="168"/>
    <s v="Prospect"/>
    <x v="0"/>
    <s v=""/>
    <m/>
  </r>
  <r>
    <s v="Request"/>
    <s v=""/>
    <s v="18/1/2025"/>
    <x v="2"/>
    <x v="0"/>
    <x v="169"/>
    <s v="Prospect"/>
    <x v="0"/>
    <s v=""/>
    <m/>
  </r>
  <r>
    <s v="Request"/>
    <s v=""/>
    <s v="18/1/2025"/>
    <x v="2"/>
    <x v="0"/>
    <x v="170"/>
    <s v="Prospect"/>
    <x v="0"/>
    <s v=""/>
    <m/>
  </r>
  <r>
    <s v="Request"/>
    <s v=""/>
    <s v="18/1/2025"/>
    <x v="2"/>
    <x v="0"/>
    <x v="171"/>
    <s v="Prospect"/>
    <x v="1"/>
    <s v=""/>
    <m/>
  </r>
  <r>
    <s v="Cancelled"/>
    <s v="Cancelled"/>
    <s v="17/1/2025"/>
    <x v="2"/>
    <x v="0"/>
    <x v="172"/>
    <s v="Prospect"/>
    <x v="1"/>
    <s v=""/>
    <m/>
  </r>
  <r>
    <s v="Request"/>
    <s v=""/>
    <s v="17/1/2025"/>
    <x v="2"/>
    <x v="0"/>
    <x v="173"/>
    <s v="Prospect"/>
    <x v="1"/>
    <s v=""/>
    <m/>
  </r>
  <r>
    <s v="Request"/>
    <s v=""/>
    <s v="17/1/2025"/>
    <x v="2"/>
    <x v="0"/>
    <x v="174"/>
    <s v="Prospect"/>
    <x v="1"/>
    <s v=""/>
    <m/>
  </r>
  <r>
    <s v="Request"/>
    <s v=""/>
    <s v="17/1/2025"/>
    <x v="3"/>
    <x v="0"/>
    <x v="140"/>
    <s v="Prospect"/>
    <x v="1"/>
    <s v=""/>
    <m/>
  </r>
  <r>
    <s v="Request"/>
    <s v=""/>
    <s v="17/1/2025"/>
    <x v="2"/>
    <x v="0"/>
    <x v="175"/>
    <s v="Prospect"/>
    <x v="1"/>
    <s v=""/>
    <m/>
  </r>
  <r>
    <s v="Request"/>
    <s v=""/>
    <s v="17/1/2025"/>
    <x v="2"/>
    <x v="0"/>
    <x v="176"/>
    <s v="Prospect"/>
    <x v="2"/>
    <s v="Kayed Hamad_x000a_"/>
    <m/>
  </r>
  <r>
    <s v="Request"/>
    <s v=""/>
    <s v="17/1/2025"/>
    <x v="2"/>
    <x v="0"/>
    <x v="177"/>
    <s v="Prospect"/>
    <x v="2"/>
    <s v="Mr. Joshua Armstrong_x000a_"/>
    <m/>
  </r>
  <r>
    <s v="Request"/>
    <s v=""/>
    <s v="17/1/2025"/>
    <x v="2"/>
    <x v="0"/>
    <x v="178"/>
    <s v="Prospect"/>
    <x v="2"/>
    <s v="Muhannad Al Shami_x000a_"/>
    <m/>
  </r>
  <r>
    <s v="Request"/>
    <s v=""/>
    <s v="17/1/2025"/>
    <x v="2"/>
    <x v="0"/>
    <x v="179"/>
    <s v="Prospect"/>
    <x v="2"/>
    <s v="Abdullatif alharthi_x000a_"/>
    <m/>
  </r>
  <r>
    <s v="Request"/>
    <s v=""/>
    <s v="17/1/2025"/>
    <x v="2"/>
    <x v="0"/>
    <x v="180"/>
    <s v="Prospect"/>
    <x v="2"/>
    <s v="Mr. Venu Madhav_x000a_"/>
    <m/>
  </r>
  <r>
    <s v="Request"/>
    <s v=""/>
    <s v="17/1/2025"/>
    <x v="2"/>
    <x v="0"/>
    <x v="181"/>
    <s v="Prospect"/>
    <x v="2"/>
    <s v="Mr. Tim Renat_x000a_"/>
    <m/>
  </r>
  <r>
    <s v="Request"/>
    <s v=""/>
    <s v="17/1/2025"/>
    <x v="7"/>
    <x v="0"/>
    <x v="182"/>
    <s v="Prospect"/>
    <x v="1"/>
    <s v=""/>
    <m/>
  </r>
  <r>
    <s v="Request"/>
    <s v=""/>
    <s v="17/1/2025"/>
    <x v="2"/>
    <x v="0"/>
    <x v="182"/>
    <s v="Prospect"/>
    <x v="1"/>
    <s v=""/>
    <m/>
  </r>
  <r>
    <s v="Request"/>
    <s v=""/>
    <s v="17/1/2025"/>
    <x v="2"/>
    <x v="0"/>
    <x v="183"/>
    <s v="Prospect"/>
    <x v="1"/>
    <s v=""/>
    <m/>
  </r>
  <r>
    <s v="Request"/>
    <s v=""/>
    <s v="17/1/2025"/>
    <x v="2"/>
    <x v="0"/>
    <x v="184"/>
    <s v="Prospect"/>
    <x v="1"/>
    <s v=""/>
    <m/>
  </r>
  <r>
    <s v="Request"/>
    <s v=""/>
    <s v="17/1/2025"/>
    <x v="2"/>
    <x v="0"/>
    <x v="185"/>
    <s v="Prospect"/>
    <x v="0"/>
    <s v=""/>
    <m/>
  </r>
  <r>
    <s v="Request"/>
    <s v=""/>
    <s v="17/1/2025"/>
    <x v="2"/>
    <x v="0"/>
    <x v="186"/>
    <s v="Prospect"/>
    <x v="0"/>
    <s v=""/>
    <m/>
  </r>
  <r>
    <s v="Request"/>
    <s v=""/>
    <s v="17/1/2025"/>
    <x v="2"/>
    <x v="0"/>
    <x v="129"/>
    <s v="Prospect"/>
    <x v="0"/>
    <s v=""/>
    <m/>
  </r>
  <r>
    <s v="Request"/>
    <s v=""/>
    <s v="17/1/2025"/>
    <x v="2"/>
    <x v="0"/>
    <x v="187"/>
    <s v="VIC"/>
    <x v="0"/>
    <s v="_x000a_"/>
    <m/>
  </r>
  <r>
    <s v="Request"/>
    <s v=""/>
    <s v="16/1/2025"/>
    <x v="2"/>
    <x v="0"/>
    <x v="172"/>
    <s v="Prospect"/>
    <x v="1"/>
    <s v=""/>
    <m/>
  </r>
  <r>
    <s v="Request"/>
    <s v=""/>
    <s v="16/1/2025"/>
    <x v="2"/>
    <x v="0"/>
    <x v="188"/>
    <s v="Prospect"/>
    <x v="1"/>
    <s v=""/>
    <m/>
  </r>
  <r>
    <s v="Request"/>
    <s v=""/>
    <s v="16/1/2025"/>
    <x v="2"/>
    <x v="0"/>
    <x v="189"/>
    <s v="Prospect"/>
    <x v="2"/>
    <s v="Mr. Siddhant Sabbarwal (uae located in India)_x000a_"/>
    <m/>
  </r>
  <r>
    <s v="Request"/>
    <s v=""/>
    <s v="16/1/2025"/>
    <x v="2"/>
    <x v="0"/>
    <x v="190"/>
    <s v="Prospect"/>
    <x v="1"/>
    <s v=""/>
    <m/>
  </r>
  <r>
    <s v="Request"/>
    <s v=""/>
    <s v="16/1/2025"/>
    <x v="2"/>
    <x v="0"/>
    <x v="191"/>
    <s v="Prospect"/>
    <x v="1"/>
    <s v=""/>
    <m/>
  </r>
  <r>
    <s v="Request"/>
    <s v=""/>
    <s v="16/1/2025"/>
    <x v="2"/>
    <x v="0"/>
    <x v="192"/>
    <s v="Prospect"/>
    <x v="1"/>
    <s v=""/>
    <m/>
  </r>
  <r>
    <s v="Request"/>
    <s v=""/>
    <s v="16/1/2025"/>
    <x v="2"/>
    <x v="0"/>
    <x v="193"/>
    <s v="Prospect"/>
    <x v="1"/>
    <s v=""/>
    <m/>
  </r>
  <r>
    <s v="Request"/>
    <s v=""/>
    <s v="16/1/2025"/>
    <x v="2"/>
    <x v="0"/>
    <x v="194"/>
    <s v="Prospect"/>
    <x v="0"/>
    <s v="the client is very interested _x000a_"/>
    <m/>
  </r>
  <r>
    <s v="Request"/>
    <s v=""/>
    <s v="16/1/2025"/>
    <x v="2"/>
    <x v="0"/>
    <x v="195"/>
    <s v="VVIC"/>
    <x v="0"/>
    <s v="the client already purchased the b128 _x000a_"/>
    <m/>
  </r>
  <r>
    <s v="Request"/>
    <s v=""/>
    <s v="16/1/2025"/>
    <x v="2"/>
    <x v="0"/>
    <x v="196"/>
    <s v="VIC"/>
    <x v="0"/>
    <s v="_x000a_"/>
    <m/>
  </r>
  <r>
    <s v="Request"/>
    <s v=""/>
    <s v="16/1/2025"/>
    <x v="2"/>
    <x v="0"/>
    <x v="197"/>
    <s v="Prospect"/>
    <x v="1"/>
    <s v=""/>
    <m/>
  </r>
  <r>
    <s v="Request"/>
    <s v=""/>
    <s v="16/1/2025"/>
    <x v="2"/>
    <x v="0"/>
    <x v="198"/>
    <s v="Prospect"/>
    <x v="1"/>
    <s v=""/>
    <m/>
  </r>
  <r>
    <s v="Request"/>
    <s v=""/>
    <s v="16/1/2025"/>
    <x v="2"/>
    <x v="0"/>
    <x v="199"/>
    <s v="Prospect"/>
    <x v="1"/>
    <s v=""/>
    <m/>
  </r>
  <r>
    <s v="Request"/>
    <s v=""/>
    <s v="16/1/2025"/>
    <x v="2"/>
    <x v="0"/>
    <x v="200"/>
    <s v="Prospect"/>
    <x v="1"/>
    <s v=""/>
    <m/>
  </r>
  <r>
    <s v="Request"/>
    <s v=""/>
    <s v="16/1/2025"/>
    <x v="2"/>
    <x v="0"/>
    <x v="201"/>
    <s v="Prospect"/>
    <x v="1"/>
    <s v=""/>
    <m/>
  </r>
  <r>
    <s v="Request"/>
    <s v=""/>
    <s v="16/1/2025"/>
    <x v="2"/>
    <x v="0"/>
    <x v="202"/>
    <s v="Prospect"/>
    <x v="1"/>
    <s v=""/>
    <m/>
  </r>
  <r>
    <s v="Request"/>
    <s v=""/>
    <s v="16/1/2025"/>
    <x v="2"/>
    <x v="0"/>
    <x v="203"/>
    <s v="Prospect"/>
    <x v="1"/>
    <s v=""/>
    <m/>
  </r>
  <r>
    <s v="Request"/>
    <s v=""/>
    <s v="16/1/2025"/>
    <x v="2"/>
    <x v="0"/>
    <x v="204"/>
    <s v="Prospect"/>
    <x v="1"/>
    <s v=""/>
    <m/>
  </r>
  <r>
    <s v="Request"/>
    <s v=""/>
    <s v="16/1/2025"/>
    <x v="2"/>
    <x v="0"/>
    <x v="205"/>
    <s v="Prospect"/>
    <x v="0"/>
    <s v=""/>
    <m/>
  </r>
  <r>
    <s v="Request"/>
    <s v=""/>
    <s v="16/1/2025"/>
    <x v="2"/>
    <x v="0"/>
    <x v="206"/>
    <s v="Prospect"/>
    <x v="1"/>
    <s v=""/>
    <m/>
  </r>
  <r>
    <s v="Request"/>
    <s v=""/>
    <s v="16/1/2025"/>
    <x v="2"/>
    <x v="0"/>
    <x v="207"/>
    <s v="Prospect"/>
    <x v="0"/>
    <s v=""/>
    <m/>
  </r>
  <r>
    <s v="Request"/>
    <s v=""/>
    <s v="16/1/2025"/>
    <x v="2"/>
    <x v="0"/>
    <x v="208"/>
    <s v="Prospect"/>
    <x v="0"/>
    <s v=""/>
    <m/>
  </r>
  <r>
    <s v="Request"/>
    <s v=""/>
    <s v="16/1/2025"/>
    <x v="2"/>
    <x v="0"/>
    <x v="209"/>
    <s v="Prospect"/>
    <x v="0"/>
    <s v=""/>
    <m/>
  </r>
  <r>
    <s v="Request"/>
    <s v=""/>
    <s v="15/1/2025"/>
    <x v="2"/>
    <x v="0"/>
    <x v="210"/>
    <s v="Prospect"/>
    <x v="1"/>
    <s v=""/>
    <m/>
  </r>
  <r>
    <s v="Request"/>
    <s v=""/>
    <s v="15/1/2025"/>
    <x v="2"/>
    <x v="0"/>
    <x v="211"/>
    <s v="Prospect"/>
    <x v="2"/>
    <s v="Only calls (Mr. Eujin Lajuenko)_x000a_"/>
    <m/>
  </r>
  <r>
    <s v="Request"/>
    <s v=""/>
    <s v="15/1/2025"/>
    <x v="2"/>
    <x v="0"/>
    <x v="212"/>
    <s v="Prospect"/>
    <x v="1"/>
    <s v="Owner of OVS and fifty six blue dial_x000a_"/>
    <m/>
  </r>
  <r>
    <s v="Request"/>
    <s v=""/>
    <s v="15/1/2025"/>
    <x v="2"/>
    <x v="0"/>
    <x v="213"/>
    <s v="Prospect"/>
    <x v="2"/>
    <s v="Mr. Shadi Hassan_x000a_"/>
    <m/>
  </r>
  <r>
    <s v="Request"/>
    <s v=""/>
    <s v="15/1/2025"/>
    <x v="2"/>
    <x v="0"/>
    <x v="214"/>
    <s v="Prospect"/>
    <x v="0"/>
    <s v="the client is intrested in the Timepeice _x000a_"/>
    <m/>
  </r>
  <r>
    <s v="Request"/>
    <s v=""/>
    <s v="15/1/2025"/>
    <x v="2"/>
    <x v="0"/>
    <x v="215"/>
    <s v="Prospect"/>
    <x v="0"/>
    <s v="The client is interested in the 222_x000a_"/>
    <m/>
  </r>
  <r>
    <s v="Request"/>
    <s v=""/>
    <s v="15/1/2025"/>
    <x v="2"/>
    <x v="0"/>
    <x v="216"/>
    <s v="Prospect"/>
    <x v="1"/>
    <s v="Requested UAE market_x000a_"/>
    <m/>
  </r>
  <r>
    <s v="Request"/>
    <s v=""/>
    <s v="15/1/2025"/>
    <x v="2"/>
    <x v="0"/>
    <x v="217"/>
    <s v="Prospect"/>
    <x v="1"/>
    <s v=""/>
    <m/>
  </r>
  <r>
    <s v="Request"/>
    <s v=""/>
    <s v="15/1/2025"/>
    <x v="2"/>
    <x v="0"/>
    <x v="218"/>
    <s v="Prospect"/>
    <x v="1"/>
    <s v=""/>
    <m/>
  </r>
  <r>
    <s v="Request"/>
    <s v=""/>
    <s v="15/1/2025"/>
    <x v="2"/>
    <x v="0"/>
    <x v="219"/>
    <s v="Prospect"/>
    <x v="1"/>
    <s v=""/>
    <m/>
  </r>
  <r>
    <s v="Request"/>
    <s v=""/>
    <s v="15/1/2025"/>
    <x v="2"/>
    <x v="0"/>
    <x v="220"/>
    <s v="Prospect"/>
    <x v="0"/>
    <s v=""/>
    <m/>
  </r>
  <r>
    <s v="Request"/>
    <s v=""/>
    <s v="15/1/2025"/>
    <x v="2"/>
    <x v="0"/>
    <x v="221"/>
    <s v="Prospect"/>
    <x v="1"/>
    <s v=""/>
    <m/>
  </r>
  <r>
    <s v="Request"/>
    <s v=""/>
    <s v="15/1/2025"/>
    <x v="2"/>
    <x v="0"/>
    <x v="222"/>
    <s v="Prospect"/>
    <x v="2"/>
    <s v="Mr. Mohammed Alhashimi (KSA)_x000a_"/>
    <m/>
  </r>
  <r>
    <s v="Cancelled"/>
    <s v="Cancelled"/>
    <s v="15/1/2025"/>
    <x v="28"/>
    <x v="0"/>
    <x v="223"/>
    <s v="Prospect"/>
    <x v="1"/>
    <s v=""/>
    <m/>
  </r>
  <r>
    <s v="Request"/>
    <s v=""/>
    <s v="15/1/2025"/>
    <x v="2"/>
    <x v="0"/>
    <x v="224"/>
    <s v="Prospect"/>
    <x v="1"/>
    <s v=""/>
    <m/>
  </r>
  <r>
    <s v="Request"/>
    <s v=""/>
    <s v="15/1/2025"/>
    <x v="2"/>
    <x v="0"/>
    <x v="225"/>
    <s v="Prospect"/>
    <x v="1"/>
    <s v=""/>
    <m/>
  </r>
  <r>
    <s v="Request"/>
    <s v=""/>
    <s v="15/1/2025"/>
    <x v="2"/>
    <x v="0"/>
    <x v="226"/>
    <s v="Prospect"/>
    <x v="0"/>
    <s v=""/>
    <m/>
  </r>
  <r>
    <s v="Request"/>
    <s v=""/>
    <s v="15/1/2025"/>
    <x v="2"/>
    <x v="0"/>
    <x v="227"/>
    <s v="Prospect"/>
    <x v="2"/>
    <s v="ksa : Yousef Alibrahim_x000a_"/>
    <m/>
  </r>
  <r>
    <s v="Request"/>
    <s v=""/>
    <s v="15/1/2025"/>
    <x v="2"/>
    <x v="0"/>
    <x v="228"/>
    <s v="Prospect"/>
    <x v="0"/>
    <s v=""/>
    <m/>
  </r>
  <r>
    <s v="Request"/>
    <s v=""/>
    <s v="15/1/2025"/>
    <x v="2"/>
    <x v="0"/>
    <x v="229"/>
    <s v="Prospect"/>
    <x v="0"/>
    <s v=""/>
    <m/>
  </r>
  <r>
    <s v="Request"/>
    <s v=""/>
    <s v="15/1/2025"/>
    <x v="2"/>
    <x v="0"/>
    <x v="230"/>
    <s v="Prospect"/>
    <x v="0"/>
    <s v=""/>
    <m/>
  </r>
  <r>
    <s v="Request"/>
    <s v=""/>
    <s v="15/1/2025"/>
    <x v="2"/>
    <x v="0"/>
    <x v="231"/>
    <s v="Prospect"/>
    <x v="0"/>
    <s v=""/>
    <m/>
  </r>
  <r>
    <s v="Request"/>
    <s v=""/>
    <s v="15/1/2025"/>
    <x v="2"/>
    <x v="0"/>
    <x v="232"/>
    <s v="Prospect"/>
    <x v="0"/>
    <s v=""/>
    <m/>
  </r>
  <r>
    <s v="Request"/>
    <s v=""/>
    <s v="15/1/2025"/>
    <x v="2"/>
    <x v="0"/>
    <x v="233"/>
    <s v="Prospect"/>
    <x v="0"/>
    <s v=""/>
    <m/>
  </r>
  <r>
    <s v="Request"/>
    <s v=""/>
    <s v="15/1/2025"/>
    <x v="2"/>
    <x v="0"/>
    <x v="234"/>
    <s v="Prospect"/>
    <x v="0"/>
    <s v=""/>
    <m/>
  </r>
  <r>
    <s v="Request"/>
    <s v=""/>
    <s v="15/1/2025"/>
    <x v="2"/>
    <x v="0"/>
    <x v="235"/>
    <s v="Prospect"/>
    <x v="0"/>
    <s v=""/>
    <m/>
  </r>
  <r>
    <s v="Request"/>
    <s v=""/>
    <s v="15/1/2025"/>
    <x v="2"/>
    <x v="0"/>
    <x v="236"/>
    <s v="Prospect"/>
    <x v="0"/>
    <s v=""/>
    <m/>
  </r>
  <r>
    <s v="Request"/>
    <s v=""/>
    <s v="15/1/2025"/>
    <x v="2"/>
    <x v="0"/>
    <x v="237"/>
    <s v="Prospect"/>
    <x v="0"/>
    <s v=""/>
    <m/>
  </r>
  <r>
    <s v="Request"/>
    <s v=""/>
    <s v="15/1/2025"/>
    <x v="2"/>
    <x v="0"/>
    <x v="238"/>
    <s v="Prospect"/>
    <x v="0"/>
    <s v=""/>
    <m/>
  </r>
  <r>
    <s v="Request"/>
    <s v=""/>
    <s v="15/1/2025"/>
    <x v="2"/>
    <x v="0"/>
    <x v="186"/>
    <s v="Prospect"/>
    <x v="0"/>
    <s v=""/>
    <m/>
  </r>
  <r>
    <s v="Request"/>
    <s v=""/>
    <s v="14/1/2025"/>
    <x v="2"/>
    <x v="0"/>
    <x v="239"/>
    <s v="Prospect"/>
    <x v="1"/>
    <s v="The client is a watch collector_x000a_"/>
    <m/>
  </r>
  <r>
    <s v="Request"/>
    <s v=""/>
    <s v="14/1/2025"/>
    <x v="2"/>
    <x v="0"/>
    <x v="240"/>
    <s v="Client"/>
    <x v="2"/>
    <s v="Mr. Faihan Al Raqas ( 966598444066)_x000a_"/>
    <m/>
  </r>
  <r>
    <s v="Request"/>
    <s v=""/>
    <s v="14/1/2025"/>
    <x v="2"/>
    <x v="0"/>
    <x v="241"/>
    <s v="Prospect"/>
    <x v="0"/>
    <s v="The client is already interested in the 222 and willing to pay in advance _x000a_"/>
    <m/>
  </r>
  <r>
    <s v="Request"/>
    <s v=""/>
    <s v="14/1/2025"/>
    <x v="2"/>
    <x v="0"/>
    <x v="155"/>
    <s v="Prospect"/>
    <x v="0"/>
    <s v="the client is very intrested _x000a_"/>
    <m/>
  </r>
  <r>
    <s v="Request"/>
    <s v=""/>
    <s v="14/1/2025"/>
    <x v="2"/>
    <x v="0"/>
    <x v="242"/>
    <s v="Prospect"/>
    <x v="1"/>
    <s v=""/>
    <m/>
  </r>
  <r>
    <s v="Request"/>
    <s v=""/>
    <s v="14/1/2025"/>
    <x v="2"/>
    <x v="0"/>
    <x v="243"/>
    <s v="Prospect"/>
    <x v="2"/>
    <s v="Mr. Eddy Hourani_x000a_"/>
    <m/>
  </r>
  <r>
    <s v="Request"/>
    <s v=""/>
    <s v="14/1/2025"/>
    <x v="2"/>
    <x v="0"/>
    <x v="244"/>
    <s v="Prospect"/>
    <x v="1"/>
    <s v=""/>
    <m/>
  </r>
  <r>
    <s v="Request"/>
    <s v=""/>
    <s v="14/1/2025"/>
    <x v="2"/>
    <x v="0"/>
    <x v="245"/>
    <s v="Prospect"/>
    <x v="2"/>
    <s v="Mr. Basil Bostami (Client for ksa)_x000a_"/>
    <m/>
  </r>
  <r>
    <s v="Request"/>
    <s v=""/>
    <s v="14/1/2025"/>
    <x v="2"/>
    <x v="0"/>
    <x v="246"/>
    <s v="Prospect"/>
    <x v="2"/>
    <s v="Mr. Amir Farag_x000a_"/>
    <m/>
  </r>
  <r>
    <s v="Request"/>
    <s v=""/>
    <s v="14/1/2025"/>
    <x v="2"/>
    <x v="0"/>
    <x v="247"/>
    <s v="Prospect"/>
    <x v="1"/>
    <s v="A gift for his father _x000a_"/>
    <m/>
  </r>
  <r>
    <s v="Request"/>
    <s v=""/>
    <s v="14/1/2025"/>
    <x v="2"/>
    <x v="0"/>
    <x v="248"/>
    <s v="Prospect"/>
    <x v="1"/>
    <s v=""/>
    <m/>
  </r>
  <r>
    <s v="Request"/>
    <s v=""/>
    <s v="14/1/2025"/>
    <x v="2"/>
    <x v="0"/>
    <x v="249"/>
    <s v="Prospect"/>
    <x v="1"/>
    <s v=""/>
    <m/>
  </r>
  <r>
    <s v="Request"/>
    <s v=""/>
    <s v="14/1/2025"/>
    <x v="2"/>
    <x v="0"/>
    <x v="250"/>
    <s v="Prospect"/>
    <x v="1"/>
    <s v=""/>
    <m/>
  </r>
  <r>
    <s v="Request"/>
    <s v=""/>
    <s v="14/1/2025"/>
    <x v="2"/>
    <x v="0"/>
    <x v="251"/>
    <s v="Prospect"/>
    <x v="1"/>
    <s v=""/>
    <m/>
  </r>
  <r>
    <s v="Request"/>
    <s v=""/>
    <s v="14/1/2025"/>
    <x v="2"/>
    <x v="0"/>
    <x v="252"/>
    <s v="Client"/>
    <x v="1"/>
    <s v=""/>
    <m/>
  </r>
  <r>
    <s v="Request"/>
    <s v=""/>
    <s v="14/1/2025"/>
    <x v="2"/>
    <x v="0"/>
    <x v="155"/>
    <s v="Prospect"/>
    <x v="0"/>
    <s v="Cllient is very interested _x000a_"/>
    <m/>
  </r>
  <r>
    <s v="Request"/>
    <s v=""/>
    <s v="14/1/2025"/>
    <x v="2"/>
    <x v="0"/>
    <x v="253"/>
    <s v="Prospect"/>
    <x v="0"/>
    <s v=""/>
    <m/>
  </r>
  <r>
    <s v="Request"/>
    <s v=""/>
    <s v="14/1/2025"/>
    <x v="2"/>
    <x v="0"/>
    <x v="254"/>
    <s v="Prospect"/>
    <x v="0"/>
    <s v=""/>
    <m/>
  </r>
  <r>
    <s v="Request"/>
    <s v=""/>
    <s v="14/1/2025"/>
    <x v="2"/>
    <x v="0"/>
    <x v="255"/>
    <s v="Prospect"/>
    <x v="0"/>
    <s v=""/>
    <m/>
  </r>
  <r>
    <s v="Request"/>
    <s v=""/>
    <s v="14/1/2025"/>
    <x v="2"/>
    <x v="0"/>
    <x v="256"/>
    <s v="Prospect"/>
    <x v="0"/>
    <s v=""/>
    <m/>
  </r>
  <r>
    <s v="Request"/>
    <s v=""/>
    <s v="14/1/2025"/>
    <x v="2"/>
    <x v="0"/>
    <x v="233"/>
    <s v="Prospect"/>
    <x v="0"/>
    <s v=""/>
    <m/>
  </r>
  <r>
    <s v="Request"/>
    <s v=""/>
    <s v="14/1/2025"/>
    <x v="2"/>
    <x v="0"/>
    <x v="257"/>
    <s v="Prospect"/>
    <x v="0"/>
    <s v=""/>
    <m/>
  </r>
  <r>
    <s v="Request"/>
    <s v=""/>
    <s v="11/1/2025"/>
    <x v="12"/>
    <x v="0"/>
    <x v="258"/>
    <s v="Prospect"/>
    <x v="0"/>
    <s v="The client showed interest in the Dual Time and he will be visiting Geneva from 5 of Feb until the 7th Feb 2025 _x000a_"/>
    <m/>
  </r>
  <r>
    <s v="Request"/>
    <s v=""/>
    <s v="10/1/2025"/>
    <x v="24"/>
    <x v="0"/>
    <x v="241"/>
    <s v="Prospect"/>
    <x v="0"/>
    <s v="The client stated that he will go and try it _x000a_"/>
    <m/>
  </r>
  <r>
    <s v="Cancelled"/>
    <s v="Cancelled"/>
    <s v="2/1/2025"/>
    <x v="29"/>
    <x v="0"/>
    <x v="259"/>
    <s v="Prospect"/>
    <x v="2"/>
    <s v="Mr. Taylan Sayin_x000a_"/>
    <m/>
  </r>
  <r>
    <s v="Request"/>
    <s v=""/>
    <s v="2/1/2025"/>
    <x v="12"/>
    <x v="0"/>
    <x v="241"/>
    <s v="Prospect"/>
    <x v="0"/>
    <s v="as per the client expressing interest in two models:_x000a__x000a_- **Overseas Dual Time (Steel)**_x000a_- **1921 (40mm and 36mm)**_x000a__x000a_Mr. Khan described his existing collection, which includes:_x000a__x000a_- **Omega**_x000a_- **Panerai**_x000a_- **Vintage Raymond Weil**_x000a__x000a__x000a_"/>
    <m/>
  </r>
  <r>
    <s v="Request"/>
    <s v=""/>
    <s v="1/1/2025"/>
    <x v="5"/>
    <x v="0"/>
    <x v="260"/>
    <s v="Prospect"/>
    <x v="0"/>
    <s v="The client is interested in the timepeice but still thinking of his budget _x000a_"/>
    <m/>
  </r>
  <r>
    <s v="Request"/>
    <s v=""/>
    <s v="1/1/2025"/>
    <x v="0"/>
    <x v="0"/>
    <x v="0"/>
    <s v="Prospect"/>
    <x v="0"/>
    <s v="Watch collector: 3 Rolexes, 2 JLC, 1 AP (Royal Oak Offshore Diver), 1 IWC, 1 Chopard, 1 Ulysse Nardin, 2 Nomos. _x000a_"/>
    <m/>
  </r>
  <r>
    <s v="Sold"/>
    <s v="Confirmed"/>
    <s v="27/12/2024"/>
    <x v="8"/>
    <x v="0"/>
    <x v="72"/>
    <s v="Prospect"/>
    <x v="2"/>
    <s v="Fida Hussain junjua_x000a_"/>
    <m/>
  </r>
  <r>
    <s v="Request"/>
    <s v=""/>
    <s v="26/12/2024"/>
    <x v="3"/>
    <x v="0"/>
    <x v="261"/>
    <s v="Prospect"/>
    <x v="1"/>
    <s v=""/>
    <m/>
  </r>
  <r>
    <s v="Request"/>
    <s v="Postponed"/>
    <s v="26/12/2024"/>
    <x v="4"/>
    <x v="0"/>
    <x v="262"/>
    <s v="Prospect"/>
    <x v="1"/>
    <s v="The client added his interest in Lebanon two years ago but no one contacted him. He is interested in this timepiece and can come to UAE_x000a_"/>
    <m/>
  </r>
  <r>
    <s v="Request"/>
    <s v="Confirmed"/>
    <s v="25/12/2024"/>
    <x v="8"/>
    <x v="0"/>
    <x v="263"/>
    <s v="Prospect"/>
    <x v="0"/>
    <s v="The client wants to purchase the Overseas chronograph 5520V/210A-B148_x000a__x000a_and has another request for the black one. He wants to try the blue one now and complete the payment_x000a__x000a__x000a_"/>
    <m/>
  </r>
  <r>
    <s v="Request"/>
    <s v=""/>
    <s v="21/12/2024"/>
    <x v="12"/>
    <x v="0"/>
    <x v="264"/>
    <s v="Prospect"/>
    <x v="0"/>
    <s v="The client is watch collecter _x000a_"/>
    <m/>
  </r>
  <r>
    <s v="Request"/>
    <s v=""/>
    <s v="21/12/2024"/>
    <x v="3"/>
    <x v="0"/>
    <x v="265"/>
    <s v="Prospect"/>
    <x v="1"/>
    <s v=""/>
    <m/>
  </r>
  <r>
    <s v="Request"/>
    <s v=""/>
    <s v="20/12/2024"/>
    <x v="4"/>
    <x v="0"/>
    <x v="266"/>
    <s v="Prospect"/>
    <x v="1"/>
    <s v=""/>
    <m/>
  </r>
  <r>
    <s v="Request"/>
    <s v="Postponed"/>
    <s v="19/12/2024"/>
    <x v="29"/>
    <x v="0"/>
    <x v="263"/>
    <s v="Prospect"/>
    <x v="0"/>
    <s v="The client would like to be listed for the chronograph_x000a_"/>
    <m/>
  </r>
  <r>
    <s v="Request"/>
    <s v="Confirmed"/>
    <s v="19/12/2024"/>
    <x v="6"/>
    <x v="0"/>
    <x v="264"/>
    <s v="Prospect"/>
    <x v="0"/>
    <s v="The client is a collecter with big interest  on the overseas collection _x000a_"/>
    <m/>
  </r>
  <r>
    <s v="Sold"/>
    <s v="Confirmed"/>
    <s v="19/12/2024"/>
    <x v="8"/>
    <x v="0"/>
    <x v="267"/>
    <s v="Prospect"/>
    <x v="1"/>
    <s v=""/>
    <m/>
  </r>
  <r>
    <s v="Request"/>
    <s v=""/>
    <s v="18/12/2024"/>
    <x v="3"/>
    <x v="0"/>
    <x v="268"/>
    <s v="Prospect"/>
    <x v="1"/>
    <s v="The client got promoted recently and would like to get this timepiece._x000a_"/>
    <m/>
  </r>
  <r>
    <s v="Cancelled"/>
    <s v="Cancelled"/>
    <s v="18/12/2024"/>
    <x v="22"/>
    <x v="0"/>
    <x v="66"/>
    <s v="Prospect"/>
    <x v="1"/>
    <s v="To gift it to his father as a replacement of the 222 steel that he has._x000a_"/>
    <m/>
  </r>
  <r>
    <s v="Cancelled"/>
    <s v="Cancelled"/>
    <s v="18/12/2024"/>
    <x v="13"/>
    <x v="0"/>
    <x v="66"/>
    <s v="Prospect"/>
    <x v="1"/>
    <s v=""/>
    <m/>
  </r>
  <r>
    <s v="Cancelled"/>
    <s v="Cancelled"/>
    <s v="17/12/2024"/>
    <x v="24"/>
    <x v="0"/>
    <x v="269"/>
    <s v="Prospect"/>
    <x v="1"/>
    <s v=""/>
    <m/>
  </r>
  <r>
    <s v="Request"/>
    <s v="Confirmed"/>
    <s v="17/12/2024"/>
    <x v="26"/>
    <x v="0"/>
    <x v="270"/>
    <s v="Prospect"/>
    <x v="0"/>
    <s v="The client is of exceptional stature, with deep-rooted connections to family-operated holding companies and a distinguished legacy in multi-generational wealth management, reflecting both influence and enduring financial sophistication. _x000a_"/>
    <m/>
  </r>
  <r>
    <s v="Cancelled"/>
    <s v="Cancelled"/>
    <s v="14/12/2024"/>
    <x v="12"/>
    <x v="0"/>
    <x v="267"/>
    <s v="Prospect"/>
    <x v="1"/>
    <s v="The client would like to buy this timepiece a gift for his brother - His birthday is on August 11_x000a_"/>
    <m/>
  </r>
  <r>
    <s v="Request"/>
    <s v=""/>
    <s v="14/12/2024"/>
    <x v="3"/>
    <x v="0"/>
    <x v="271"/>
    <s v="Prospect"/>
    <x v="1"/>
    <s v="The client is a watch collcter, appreciative of the brand history and heritage and considers having this timepiece will make him a successful watch collector._x000a_"/>
    <m/>
  </r>
  <r>
    <s v="Cancelled"/>
    <s v="Cancelled"/>
    <s v="13/12/2024"/>
    <x v="28"/>
    <x v="0"/>
    <x v="272"/>
    <s v="Prospect"/>
    <x v="1"/>
    <s v="The client is interested in getting the Overseas for special occasion and will also purchase the fiftysix 4600E/110A-B487 for day to day use._x000a_"/>
    <m/>
  </r>
  <r>
    <s v="Request"/>
    <s v=""/>
    <s v="10/12/2024"/>
    <x v="3"/>
    <x v="0"/>
    <x v="273"/>
    <s v="Prospect"/>
    <x v="1"/>
    <s v=""/>
    <m/>
  </r>
  <r>
    <s v="Sold"/>
    <s v="Confirmed"/>
    <s v="10/12/2024"/>
    <x v="3"/>
    <x v="0"/>
    <x v="274"/>
    <s v="Prospect"/>
    <x v="1"/>
    <s v=""/>
    <m/>
  </r>
  <r>
    <s v="Request"/>
    <s v="Postponed"/>
    <s v="5/12/2024"/>
    <x v="22"/>
    <x v="0"/>
    <x v="275"/>
    <s v="Prospect"/>
    <x v="2"/>
    <s v="Mr. Chirag Arora : also interested in the historiques 222_x000a_"/>
    <m/>
  </r>
  <r>
    <s v="Request"/>
    <s v="Postponed"/>
    <s v="5/12/2024"/>
    <x v="13"/>
    <x v="0"/>
    <x v="275"/>
    <s v="Prospect"/>
    <x v="2"/>
    <s v="Mr. Chirag Arora : is also interested in the overeseas gold selfwinding green dial._x000a_"/>
    <m/>
  </r>
  <r>
    <s v="Request"/>
    <s v=""/>
    <s v="4/12/2024"/>
    <x v="3"/>
    <x v="0"/>
    <x v="276"/>
    <s v="Prospect"/>
    <x v="0"/>
    <s v="The client is based in India , and willing to come to the UAE for 128 _x000a_"/>
    <m/>
  </r>
  <r>
    <s v="Request"/>
    <s v=""/>
    <s v="28/11/2024"/>
    <x v="12"/>
    <x v="0"/>
    <x v="277"/>
    <s v="Prospect"/>
    <x v="2"/>
    <s v="Mr. Asim Alowais_x000a_"/>
    <m/>
  </r>
  <r>
    <s v="Request"/>
    <s v=""/>
    <s v="27/11/2024"/>
    <x v="12"/>
    <x v="0"/>
    <x v="278"/>
    <s v="Prospect"/>
    <x v="2"/>
    <s v="Mr. Anthony Delpiano contacted us via email_x000a_"/>
    <m/>
  </r>
  <r>
    <s v="Request"/>
    <s v=""/>
    <s v="26/11/2024"/>
    <x v="3"/>
    <x v="0"/>
    <x v="279"/>
    <s v="Prospect"/>
    <x v="2"/>
    <s v="Mr Abdelhadi Mohamed interested in the Overseas Blue dial but he is also open for alternatives._x000a_"/>
    <m/>
  </r>
  <r>
    <s v="Cancelled"/>
    <s v="Cancelled"/>
    <s v="23/11/2024"/>
    <x v="0"/>
    <x v="0"/>
    <x v="280"/>
    <s v="Prospect"/>
    <x v="2"/>
    <s v="Client was initially interested in the 222 but now he would like to register for the Overseasmoon phase retrograde date: for his son birthday on 28 Nov._x000a_"/>
    <m/>
  </r>
  <r>
    <s v="Request"/>
    <s v=""/>
    <s v="21/11/2024"/>
    <x v="3"/>
    <x v="0"/>
    <x v="204"/>
    <s v="Prospect"/>
    <x v="1"/>
    <s v="Added to the waiting list for the OVS retrograde moonphase_x000a_"/>
    <m/>
  </r>
  <r>
    <s v="Request"/>
    <s v=""/>
    <s v="20/11/2024"/>
    <x v="30"/>
    <x v="0"/>
    <x v="281"/>
    <s v="Prospect"/>
    <x v="0"/>
    <s v="the client would like to purchases the Overseasquartz_x000a__x000a_1225V/200A-B590 33 mm Steel _x000a_"/>
    <m/>
  </r>
  <r>
    <s v="Request"/>
    <s v="Confirmed"/>
    <s v="20/11/2024"/>
    <x v="12"/>
    <x v="0"/>
    <x v="282"/>
    <s v="Prospect"/>
    <x v="0"/>
    <s v="**Overseas Dual Time**: Mr. Nassef has expressed a preference for this model due to its suitability to his wrist size (41 mm)._x000a_"/>
    <m/>
  </r>
  <r>
    <s v="Request"/>
    <s v=""/>
    <s v="20/11/2024"/>
    <x v="3"/>
    <x v="0"/>
    <x v="283"/>
    <s v="Client"/>
    <x v="1"/>
    <s v="The client is an owner of a fiftysix - from korea- he is already added to the korean waitlist - but he shifted to UAE and would like to be added as well_x000a_"/>
    <m/>
  </r>
  <r>
    <s v="Request"/>
    <s v="Postponed"/>
    <s v="20/11/2024"/>
    <x v="12"/>
    <x v="0"/>
    <x v="263"/>
    <s v="Prospect"/>
    <x v="0"/>
    <s v="The client wants to own his first VC and add it to his collection which inclouds , Rolexes, AP’s and Pateks’_x000a_"/>
    <m/>
  </r>
  <r>
    <s v="Request"/>
    <s v=""/>
    <s v="16/11/2024"/>
    <x v="3"/>
    <x v="0"/>
    <x v="142"/>
    <s v="Prospect"/>
    <x v="1"/>
    <s v="_x000a_"/>
    <m/>
  </r>
  <r>
    <s v="Cancelled"/>
    <s v="Cancelled"/>
    <s v="16/11/2024"/>
    <x v="28"/>
    <x v="0"/>
    <x v="142"/>
    <s v="Prospect"/>
    <x v="1"/>
    <s v=""/>
    <m/>
  </r>
  <r>
    <s v="Request"/>
    <s v="Pending client feedback"/>
    <s v="15/11/2024"/>
    <x v="31"/>
    <x v="0"/>
    <x v="284"/>
    <s v="Prospect"/>
    <x v="0"/>
    <s v="The client would like to purchase the oversease for his wife as  Christmas gift_x000a_"/>
    <m/>
  </r>
  <r>
    <s v="Request"/>
    <s v="Confirmed"/>
    <s v="14/11/2024"/>
    <x v="3"/>
    <x v="0"/>
    <x v="285"/>
    <s v="Prospect"/>
    <x v="0"/>
    <s v="The client would like to purchases the overseas blue simple _x000a_"/>
    <m/>
  </r>
  <r>
    <s v="Request"/>
    <s v="Pending client feedback"/>
    <s v="14/11/2024"/>
    <x v="32"/>
    <x v="0"/>
    <x v="285"/>
    <s v="Prospect"/>
    <x v="0"/>
    <s v="The client would like to purchase the overseas and stated that , he considers him self a Vacheron Constantin ambassador _x000a_"/>
    <m/>
  </r>
  <r>
    <s v="Request"/>
    <s v=""/>
    <s v="13/11/2024"/>
    <x v="3"/>
    <x v="0"/>
    <x v="286"/>
    <s v="Prospect"/>
    <x v="0"/>
    <s v="The customer appreciates the simplicity and elegance of the model, as well as the collapsible strap, which aligns with his lifestyle._x000a__x000a_The customer has tried on the model in-store and confirmed his intent to purchase it as soon as it becomes available._x000a__x000a__x000a_"/>
    <m/>
  </r>
  <r>
    <s v="Cancelled"/>
    <s v="Cancelled"/>
    <s v="12/11/2024"/>
    <x v="5"/>
    <x v="0"/>
    <x v="287"/>
    <s v="Prospect"/>
    <x v="1"/>
    <s v="The client already bought the OVS chronograph - pink gold and blue dial and would like to add this timepiece to his collection_x000a_"/>
    <m/>
  </r>
  <r>
    <s v="Cancelled"/>
    <s v="Cancelled"/>
    <s v="9/11/2024"/>
    <x v="12"/>
    <x v="0"/>
    <x v="288"/>
    <s v="Prospect"/>
    <x v="1"/>
    <s v=""/>
    <m/>
  </r>
  <r>
    <s v="Cancelled"/>
    <s v="Cancelled"/>
    <s v="7/11/2024"/>
    <x v="6"/>
    <x v="0"/>
    <x v="289"/>
    <s v="Prospect"/>
    <x v="1"/>
    <s v=""/>
    <m/>
  </r>
  <r>
    <s v="Cancelled"/>
    <s v="Cancelled"/>
    <s v="6/11/2024"/>
    <x v="12"/>
    <x v="0"/>
    <x v="290"/>
    <s v="Prospect"/>
    <x v="1"/>
    <s v=""/>
    <m/>
  </r>
  <r>
    <s v="Request"/>
    <s v=""/>
    <s v="5/11/2024"/>
    <x v="12"/>
    <x v="0"/>
    <x v="291"/>
    <s v="VVIC"/>
    <x v="0"/>
    <s v="My client Al Owis recently reached out to express his satisfaction with the service he received previously. He inquired about the dual time and mentioned that he would like to purchase it as a gift for his uncle, His Excellency Abdul Rahman Al Owais._x000a_"/>
    <m/>
  </r>
  <r>
    <s v="Cancelled"/>
    <s v="Cancelled"/>
    <s v="5/11/2024"/>
    <x v="12"/>
    <x v="0"/>
    <x v="292"/>
    <s v="Prospect"/>
    <x v="2"/>
    <s v="Client was registred by Yangli for the blue dial and 2 ladies watches _x000a_"/>
    <m/>
  </r>
  <r>
    <s v="Cancelled"/>
    <s v="Cancelled"/>
    <s v="5/11/2024"/>
    <x v="6"/>
    <x v="0"/>
    <x v="293"/>
    <s v="Prospect"/>
    <x v="2"/>
    <s v="Client is open for other options invited his to the boutique._x000a_"/>
    <m/>
  </r>
  <r>
    <s v="Request"/>
    <s v=""/>
    <s v="5/11/2024"/>
    <x v="4"/>
    <x v="0"/>
    <x v="294"/>
    <s v="Prospect"/>
    <x v="0"/>
    <s v="The client is Al Firdan family memebers   interested in the black and blue dual time _x000a_"/>
    <m/>
  </r>
  <r>
    <s v="Request"/>
    <s v=""/>
    <s v="2/11/2024"/>
    <x v="3"/>
    <x v="0"/>
    <x v="295"/>
    <s v="Prospect"/>
    <x v="0"/>
    <s v="VVIP Client - Mr. Abdulaziz  is very interested in the timepeice _x000a_"/>
    <m/>
  </r>
  <r>
    <s v="Request"/>
    <s v=""/>
    <s v="2/11/2024"/>
    <x v="12"/>
    <x v="0"/>
    <x v="296"/>
    <s v="Prospect"/>
    <x v="0"/>
    <s v="The client is intrested in the OVERSEAS DUAL TIME \n _x000a_"/>
    <m/>
  </r>
  <r>
    <s v="Cancelled"/>
    <s v="Cancelled"/>
    <s v="31/10/2024"/>
    <x v="3"/>
    <x v="0"/>
    <x v="297"/>
    <s v="Prospect"/>
    <x v="0"/>
    <s v="The client is very interested in the overseas blue bay tower._x000a_"/>
    <m/>
  </r>
  <r>
    <s v="Cancelled"/>
    <s v="Cancelled"/>
    <s v="30/10/2024"/>
    <x v="8"/>
    <x v="0"/>
    <x v="298"/>
    <s v="Prospect"/>
    <x v="1"/>
    <s v=""/>
    <m/>
  </r>
  <r>
    <s v="Request"/>
    <s v=""/>
    <s v="30/10/2024"/>
    <x v="12"/>
    <x v="0"/>
    <x v="298"/>
    <s v="Prospect"/>
    <x v="1"/>
    <s v=""/>
    <m/>
  </r>
  <r>
    <s v="Request"/>
    <s v=""/>
    <s v="30/10/2024"/>
    <x v="3"/>
    <x v="0"/>
    <x v="297"/>
    <s v="Prospect"/>
    <x v="0"/>
    <s v=""/>
    <m/>
  </r>
  <r>
    <s v="Cancelled"/>
    <s v="Cancelled"/>
    <s v="30/10/2024"/>
    <x v="33"/>
    <x v="0"/>
    <x v="299"/>
    <s v="Prospect"/>
    <x v="0"/>
    <s v="the client would like to purchases _x000a__x000a_overseas tourbillon_x000a_"/>
    <m/>
  </r>
  <r>
    <s v="Request"/>
    <s v=""/>
    <s v="26/10/2024"/>
    <x v="3"/>
    <x v="0"/>
    <x v="300"/>
    <s v="Prospect"/>
    <x v="0"/>
    <s v="The clinet is a high profile., unfortunately SF didnt create id yet. the client will be going to KSA on Monday morning _x000a_"/>
    <m/>
  </r>
  <r>
    <s v="Request"/>
    <s v=""/>
    <s v="25/10/2024"/>
    <x v="3"/>
    <x v="0"/>
    <x v="299"/>
    <s v="Prospect"/>
    <x v="0"/>
    <s v="The client is interested in the blue simple day overseas and would like to come to the boutique to try it. _x000a_"/>
    <m/>
  </r>
  <r>
    <s v="Cancelled"/>
    <s v="Cancelled"/>
    <s v="25/10/2024"/>
    <x v="28"/>
    <x v="0"/>
    <x v="131"/>
    <s v="Prospect"/>
    <x v="1"/>
    <s v=""/>
    <m/>
  </r>
  <r>
    <s v="Cancelled"/>
    <s v="Cancelled"/>
    <s v="24/10/2024"/>
    <x v="12"/>
    <x v="0"/>
    <x v="131"/>
    <s v="Prospect"/>
    <x v="1"/>
    <s v=""/>
    <m/>
  </r>
  <r>
    <s v="Cancelled"/>
    <s v="Cancelled"/>
    <s v="24/10/2024"/>
    <x v="3"/>
    <x v="0"/>
    <x v="131"/>
    <s v="Prospect"/>
    <x v="1"/>
    <s v=""/>
    <m/>
  </r>
  <r>
    <s v="Request"/>
    <s v=""/>
    <s v="22/10/2024"/>
    <x v="3"/>
    <x v="0"/>
    <x v="301"/>
    <s v="Prospect"/>
    <x v="1"/>
    <s v=""/>
    <m/>
  </r>
  <r>
    <s v="Sold"/>
    <s v="Confirmed"/>
    <s v="22/10/2024"/>
    <x v="29"/>
    <x v="0"/>
    <x v="302"/>
    <s v="Prospect"/>
    <x v="2"/>
    <s v=""/>
    <m/>
  </r>
  <r>
    <s v="Request"/>
    <s v="Confirmed"/>
    <s v="20/10/2024"/>
    <x v="12"/>
    <x v="0"/>
    <x v="294"/>
    <s v="Prospect"/>
    <x v="0"/>
    <s v="VVIC | The Mr. Ali showed his interest in the  timepeice and would like to meet and would like to purchase the watch _x000a_"/>
    <m/>
  </r>
  <r>
    <s v="Request"/>
    <s v=""/>
    <s v="19/10/2024"/>
    <x v="3"/>
    <x v="0"/>
    <x v="300"/>
    <s v="Prospect"/>
    <x v="0"/>
    <s v="The client is interested in the blue dial the ID still not appearing will update it accordingly _x000a_"/>
    <m/>
  </r>
  <r>
    <s v="Request"/>
    <s v=""/>
    <s v="19/10/2024"/>
    <x v="3"/>
    <x v="0"/>
    <x v="303"/>
    <s v="Prospect"/>
    <x v="1"/>
    <s v=""/>
    <m/>
  </r>
  <r>
    <s v="Pre-order"/>
    <s v="Confirmed"/>
    <s v="18/10/2024"/>
    <x v="34"/>
    <x v="0"/>
    <x v="304"/>
    <s v="Prospect"/>
    <x v="1"/>
    <s v=""/>
    <m/>
  </r>
  <r>
    <s v="Cancelled"/>
    <s v="Cancelled"/>
    <s v="17/10/2024"/>
    <x v="8"/>
    <x v="0"/>
    <x v="305"/>
    <s v="Prospect"/>
    <x v="2"/>
    <s v="Client has limited budget_x000a_"/>
    <m/>
  </r>
  <r>
    <s v="Sold"/>
    <s v="Confirmed"/>
    <s v="17/10/2024"/>
    <x v="24"/>
    <x v="0"/>
    <x v="306"/>
    <s v="Prospect"/>
    <x v="1"/>
    <s v=""/>
    <m/>
  </r>
  <r>
    <s v="Sold"/>
    <s v="Confirmed"/>
    <s v="17/10/2024"/>
    <x v="18"/>
    <x v="0"/>
    <x v="307"/>
    <s v="Prospect"/>
    <x v="0"/>
    <s v="\\_x000a_Interested in buying the **Overseas Chronograph** _x000a__x000a_5520V/210R-B966  as a birthday gift for her husband in November. She’s comparing the 41mm 7920V/210R-B965 | and 42.5mm models, as she’s concerned about the size difference. _x000a_"/>
    <m/>
  </r>
  <r>
    <s v="Cancelled"/>
    <s v="Cancelled"/>
    <s v="17/10/2024"/>
    <x v="5"/>
    <x v="0"/>
    <x v="307"/>
    <s v="Prospect"/>
    <x v="0"/>
    <s v="The client will be taken either the dual time or the _x000a__x000a_Overseas chronograph_x000a_"/>
    <m/>
  </r>
  <r>
    <s v="Cancelled"/>
    <s v="Cancelled"/>
    <s v="17/10/2024"/>
    <x v="35"/>
    <x v="0"/>
    <x v="308"/>
    <s v="Prospect"/>
    <x v="0"/>
    <s v="Waiting for the client confirmation when he will come to UAE_x000a_"/>
    <m/>
  </r>
  <r>
    <s v="Request"/>
    <s v=""/>
    <s v="16/10/2024"/>
    <x v="12"/>
    <x v="0"/>
    <x v="309"/>
    <s v="Prospect"/>
    <x v="1"/>
    <s v=""/>
    <m/>
  </r>
  <r>
    <s v="Request"/>
    <s v="Pending client feedback"/>
    <s v="16/10/2024"/>
    <x v="0"/>
    <x v="0"/>
    <x v="310"/>
    <s v="Prospect"/>
    <x v="0"/>
    <s v="The client is open for the Overseas moon phase retrograde date_x000a__x000a_As per the client hes going in a trip therefore , will love to purchase it from UAE _x000a_"/>
    <m/>
  </r>
  <r>
    <s v="Sold"/>
    <s v="Confirmed"/>
    <s v="15/10/2024"/>
    <x v="3"/>
    <x v="0"/>
    <x v="311"/>
    <s v="Prospect"/>
    <x v="1"/>
    <s v="he is the son of the Minister of Federal Supreme Council Affairs in UAE_x000a_"/>
    <m/>
  </r>
  <r>
    <s v="Cancelled"/>
    <s v="Cancelled"/>
    <s v="15/10/2024"/>
    <x v="19"/>
    <x v="0"/>
    <x v="312"/>
    <s v="Prospect"/>
    <x v="2"/>
    <s v="The client wanted **[Overseas chronograph](https://richemont.lightning.force.com/lightning/r/RICSC_Transaction__c/01t1i000004DZbzAAG/view).** _x000a_"/>
    <m/>
  </r>
  <r>
    <s v="Cancelled"/>
    <s v="Cancelled"/>
    <s v="15/10/2024"/>
    <x v="3"/>
    <x v="0"/>
    <x v="290"/>
    <s v="Prospect"/>
    <x v="1"/>
    <s v="The client is not open to other references and he only wants this_x000a_"/>
    <m/>
  </r>
  <r>
    <s v="Cancelled"/>
    <s v="Cancelled"/>
    <s v="11/10/2024"/>
    <x v="3"/>
    <x v="0"/>
    <x v="131"/>
    <s v="Prospect"/>
    <x v="1"/>
    <s v=""/>
    <m/>
  </r>
  <r>
    <s v="Request"/>
    <s v=""/>
    <s v="11/10/2024"/>
    <x v="12"/>
    <x v="0"/>
    <x v="131"/>
    <s v="Prospect"/>
    <x v="1"/>
    <s v=""/>
    <m/>
  </r>
  <r>
    <s v="Cancelled"/>
    <s v="Cancelled"/>
    <s v="10/10/2024"/>
    <x v="3"/>
    <x v="0"/>
    <x v="313"/>
    <s v="Prospect"/>
    <x v="0"/>
    <s v="the client is intersted in the overseas _x000a_"/>
    <m/>
  </r>
  <r>
    <s v="Request"/>
    <s v=""/>
    <s v="10/10/2024"/>
    <x v="27"/>
    <x v="0"/>
    <x v="309"/>
    <s v="Client"/>
    <x v="1"/>
    <s v="The client lives in Saudi however he can come to Dubai _x000a_"/>
    <m/>
  </r>
  <r>
    <s v="Request"/>
    <s v="Postponed"/>
    <s v="10/10/2024"/>
    <x v="15"/>
    <x v="0"/>
    <x v="314"/>
    <s v="Client"/>
    <x v="1"/>
    <s v="The client is residing in Saudi however he can visit UAE_x000a_"/>
    <m/>
  </r>
  <r>
    <s v="Cancelled"/>
    <s v="Cancelled"/>
    <s v="9/10/2024"/>
    <x v="3"/>
    <x v="0"/>
    <x v="315"/>
    <s v="Prospect"/>
    <x v="0"/>
    <s v="the client is intrested in either the self winding or the daul time _x000a_"/>
    <m/>
  </r>
  <r>
    <s v="Sold"/>
    <s v="Pending client feedback"/>
    <s v="9/10/2024"/>
    <x v="26"/>
    <x v="0"/>
    <x v="315"/>
    <s v="Prospect"/>
    <x v="0"/>
    <s v="another intreset for the client. for the self winding _x000a_"/>
    <m/>
  </r>
  <r>
    <s v="Cancelled"/>
    <s v="Cancelled"/>
    <s v="9/10/2024"/>
    <x v="28"/>
    <x v="0"/>
    <x v="313"/>
    <s v="Prospect"/>
    <x v="0"/>
    <s v=""/>
    <m/>
  </r>
  <r>
    <s v="Request"/>
    <s v="Postponed"/>
    <s v="8/10/2024"/>
    <x v="4"/>
    <x v="0"/>
    <x v="316"/>
    <s v="Prospect"/>
    <x v="1"/>
    <s v=""/>
    <m/>
  </r>
  <r>
    <s v="Cancelled"/>
    <s v="Cancelled"/>
    <s v="8/10/2024"/>
    <x v="12"/>
    <x v="0"/>
    <x v="11"/>
    <s v="Prospect"/>
    <x v="1"/>
    <s v=""/>
    <m/>
  </r>
  <r>
    <s v="Cancelled"/>
    <s v="Cancelled"/>
    <s v="8/10/2024"/>
    <x v="8"/>
    <x v="0"/>
    <x v="11"/>
    <s v="Prospect"/>
    <x v="1"/>
    <s v=""/>
    <m/>
  </r>
  <r>
    <s v="Sold"/>
    <s v="Pending client feedback"/>
    <s v="5/10/2024"/>
    <x v="12"/>
    <x v="0"/>
    <x v="315"/>
    <s v="Prospect"/>
    <x v="0"/>
    <s v="the client stated that  hes interested in the overseas blue dial (dual time or self winding)_x000a_"/>
    <m/>
  </r>
  <r>
    <s v="Request"/>
    <s v="Confirmed"/>
    <s v="2/10/2024"/>
    <x v="0"/>
    <x v="0"/>
    <x v="317"/>
    <s v="Prospect"/>
    <x v="0"/>
    <s v="- No gold, prefers stainless steel._x000a_- Moon phase complication holds personal significance._x000a_- Interested in watches that symbolize achievement and uniqueness._x000a_- Likes the blue dial for its versatility under different light conditions._x000a__x000a__x000a_"/>
    <m/>
  </r>
  <r>
    <s v="Request"/>
    <s v=""/>
    <s v="28/9/2024"/>
    <x v="12"/>
    <x v="0"/>
    <x v="318"/>
    <s v="Prospect"/>
    <x v="2"/>
    <s v="Client will be visiting Dubai in November and December_x000a_"/>
    <m/>
  </r>
  <r>
    <s v="Cancelled"/>
    <s v="Cancelled"/>
    <s v="26/9/2024"/>
    <x v="16"/>
    <x v="0"/>
    <x v="319"/>
    <s v="Prospect"/>
    <x v="1"/>
    <s v=""/>
    <m/>
  </r>
  <r>
    <s v="Request"/>
    <s v=""/>
    <s v="26/9/2024"/>
    <x v="13"/>
    <x v="0"/>
    <x v="320"/>
    <s v="Prospect"/>
    <x v="1"/>
    <s v=""/>
    <m/>
  </r>
  <r>
    <s v="Request"/>
    <s v=""/>
    <s v="24/9/2024"/>
    <x v="30"/>
    <x v="0"/>
    <x v="321"/>
    <s v="Prospect"/>
    <x v="0"/>
    <s v="The client is willing to pay via a payment link for the Overseas Quartz | X12AC590. This purchase is intended as a marriage gift for his wife, which he plans to present to her during their wedding in December._x000a_"/>
    <m/>
  </r>
  <r>
    <s v="Request"/>
    <s v=""/>
    <s v="24/9/2024"/>
    <x v="12"/>
    <x v="0"/>
    <x v="322"/>
    <s v="Prospect"/>
    <x v="0"/>
    <s v="The client would like to proceed with the Overseas. He mentioned that either he or a family member will be coming to the UAE, and he will confirm the details._x000a_"/>
    <m/>
  </r>
  <r>
    <s v="Cancelled"/>
    <s v="Cancelled"/>
    <s v="21/9/2024"/>
    <x v="4"/>
    <x v="0"/>
    <x v="289"/>
    <s v="Prospect"/>
    <x v="1"/>
    <s v="The client wanted to celebrate his promotion by gifting himself this timepiece_x000a_"/>
    <m/>
  </r>
  <r>
    <s v="Cancelled"/>
    <s v="Cancelled"/>
    <s v="20/9/2024"/>
    <x v="0"/>
    <x v="0"/>
    <x v="204"/>
    <s v="Prospect"/>
    <x v="1"/>
    <s v=""/>
    <m/>
  </r>
  <r>
    <s v="Request"/>
    <s v=""/>
    <s v="19/9/2024"/>
    <x v="3"/>
    <x v="0"/>
    <x v="323"/>
    <s v="Prospect"/>
    <x v="1"/>
    <s v="he is looking to buy the timepiece for the celebration for his 10 year anniversary _x000a_"/>
    <m/>
  </r>
  <r>
    <s v="Request"/>
    <s v="Postponed"/>
    <s v="19/9/2024"/>
    <x v="18"/>
    <x v="0"/>
    <x v="324"/>
    <s v="Prospect"/>
    <x v="1"/>
    <s v=""/>
    <m/>
  </r>
  <r>
    <s v="Request"/>
    <s v=""/>
    <s v="18/9/2024"/>
    <x v="3"/>
    <x v="0"/>
    <x v="325"/>
    <s v="Prospect"/>
    <x v="2"/>
    <s v=""/>
    <m/>
  </r>
  <r>
    <s v="Request"/>
    <s v=""/>
    <s v="17/9/2024"/>
    <x v="3"/>
    <x v="0"/>
    <x v="326"/>
    <s v="Prospect"/>
    <x v="0"/>
    <s v="The client showed interest  in the oversease blue dial , _x000a_"/>
    <m/>
  </r>
  <r>
    <s v="Cancelled"/>
    <s v="Cancelled"/>
    <s v="13/9/2024"/>
    <x v="19"/>
    <x v="0"/>
    <x v="327"/>
    <s v="Prospect"/>
    <x v="1"/>
    <s v="The client is the **President &amp; Group Chief Executive Officer at Pakistan Telecommunication Co.** **Ltd.** **and Pakistan Telecommunications Mobile Ltd**. He is interested in this timepiece._x000a_"/>
    <m/>
  </r>
  <r>
    <s v="Request"/>
    <s v=""/>
    <s v="12/9/2024"/>
    <x v="12"/>
    <x v="0"/>
    <x v="328"/>
    <s v="Client"/>
    <x v="1"/>
    <s v=""/>
    <m/>
  </r>
  <r>
    <s v="Request"/>
    <s v="Postponed"/>
    <s v="10/9/2024"/>
    <x v="12"/>
    <x v="0"/>
    <x v="306"/>
    <s v="Prospect"/>
    <x v="1"/>
    <s v="She is interested in gifting this timepiece to her husband, for their anniversary celebration._x000a_"/>
    <m/>
  </r>
  <r>
    <s v="Request"/>
    <s v=""/>
    <s v="10/9/2024"/>
    <x v="15"/>
    <x v="0"/>
    <x v="329"/>
    <s v="Prospect"/>
    <x v="0"/>
    <s v="The client purchased the  Fiftysix self-winding and  now planing for the oversease blue dail _x000a_"/>
    <m/>
  </r>
  <r>
    <s v="Request"/>
    <s v=""/>
    <s v="10/9/2024"/>
    <x v="3"/>
    <x v="0"/>
    <x v="329"/>
    <s v="Prospect"/>
    <x v="0"/>
    <s v="The client is interested in purchasing the Overseas Blue Dial._x000a_"/>
    <m/>
  </r>
  <r>
    <s v="Request"/>
    <s v=""/>
    <s v="10/9/2024"/>
    <x v="12"/>
    <x v="0"/>
    <x v="330"/>
    <s v="Prospect"/>
    <x v="2"/>
    <s v=""/>
    <m/>
  </r>
  <r>
    <s v="Request"/>
    <s v=""/>
    <s v="10/9/2024"/>
    <x v="3"/>
    <x v="0"/>
    <x v="331"/>
    <s v="Prospect"/>
    <x v="0"/>
    <s v="The client is intrested in the overseas _x000a_"/>
    <m/>
  </r>
  <r>
    <s v="Request"/>
    <s v=""/>
    <s v="10/9/2024"/>
    <x v="36"/>
    <x v="0"/>
    <x v="331"/>
    <s v="Prospect"/>
    <x v="0"/>
    <s v="the client is interested in both the oversease and fiftysix _x000a_"/>
    <m/>
  </r>
  <r>
    <s v="Request"/>
    <s v=""/>
    <s v="10/9/2024"/>
    <x v="4"/>
    <x v="0"/>
    <x v="331"/>
    <s v="Prospect"/>
    <x v="0"/>
    <s v="the client would like to purchase both fiftysix and oversease black dial _x000a_"/>
    <m/>
  </r>
  <r>
    <s v="Request"/>
    <s v=""/>
    <s v="10/9/2024"/>
    <x v="4"/>
    <x v="0"/>
    <x v="331"/>
    <s v="Prospect"/>
    <x v="0"/>
    <s v="the client would like to purchase the oversease black dial _x000a_"/>
    <m/>
  </r>
  <r>
    <s v="Request"/>
    <s v=""/>
    <s v="10/9/2024"/>
    <x v="3"/>
    <x v="0"/>
    <x v="2"/>
    <s v="Prospect"/>
    <x v="0"/>
    <s v="The client shows intreset in the oversease self winding _x000a_"/>
    <m/>
  </r>
  <r>
    <s v="Request"/>
    <s v="Confirmed"/>
    <s v="10/9/2024"/>
    <x v="14"/>
    <x v="0"/>
    <x v="332"/>
    <s v="Prospect"/>
    <x v="0"/>
    <s v="The client is interested in the fiftysix  black dial _x000a_"/>
    <m/>
  </r>
  <r>
    <s v="Request"/>
    <s v=""/>
    <s v="7/9/2024"/>
    <x v="12"/>
    <x v="0"/>
    <x v="333"/>
    <s v="Prospect"/>
    <x v="1"/>
    <s v=""/>
    <m/>
  </r>
  <r>
    <s v="Request"/>
    <s v=""/>
    <s v="7/9/2024"/>
    <x v="3"/>
    <x v="0"/>
    <x v="333"/>
    <s v="Prospect"/>
    <x v="1"/>
    <s v=""/>
    <m/>
  </r>
  <r>
    <s v="Request"/>
    <s v=""/>
    <s v="5/9/2024"/>
    <x v="24"/>
    <x v="0"/>
    <x v="334"/>
    <s v="Prospect"/>
    <x v="0"/>
    <s v="The client is intrested in the fiftysix self winding gray_x000a_"/>
    <m/>
  </r>
  <r>
    <s v="Request"/>
    <s v=""/>
    <s v="4/9/2024"/>
    <x v="4"/>
    <x v="0"/>
    <x v="335"/>
    <s v="Prospect"/>
    <x v="0"/>
    <s v="The client is interested in the black dial Overseas and has an appointment at Suite 1755._x000a_"/>
    <m/>
  </r>
  <r>
    <s v="Request"/>
    <s v="Confirmed"/>
    <s v="4/9/2024"/>
    <x v="14"/>
    <x v="0"/>
    <x v="335"/>
    <s v="Prospect"/>
    <x v="0"/>
    <s v="The client wanted to Purchase  either the oversease 4520V/210A-B483 or the fifitysix , with Mohammed support she made a full payment  4600E/000R-H101_x000a_"/>
    <m/>
  </r>
  <r>
    <s v="Cancelled"/>
    <s v="Cancelled"/>
    <s v="4/9/2024"/>
    <x v="24"/>
    <x v="0"/>
    <x v="336"/>
    <s v="Prospect"/>
    <x v="1"/>
    <s v=""/>
    <m/>
  </r>
  <r>
    <s v="Cancelled"/>
    <s v="Cancelled"/>
    <s v="3/9/2024"/>
    <x v="12"/>
    <x v="0"/>
    <x v="337"/>
    <s v="Prospect"/>
    <x v="1"/>
    <s v=""/>
    <m/>
  </r>
  <r>
    <s v="Request"/>
    <s v=""/>
    <s v="30/8/2024"/>
    <x v="4"/>
    <x v="0"/>
    <x v="335"/>
    <s v="Prospect"/>
    <x v="0"/>
    <s v="The client would like to purchase Overseas self-winding black Dial_x000a_"/>
    <m/>
  </r>
  <r>
    <s v="Request"/>
    <s v=""/>
    <s v="29/8/2024"/>
    <x v="12"/>
    <x v="0"/>
    <x v="338"/>
    <s v="Prospect"/>
    <x v="1"/>
    <s v="_x000a_"/>
    <m/>
  </r>
  <r>
    <s v="Request"/>
    <s v=""/>
    <s v="28/8/2024"/>
    <x v="3"/>
    <x v="0"/>
    <x v="339"/>
    <s v="Prospect"/>
    <x v="2"/>
    <s v="Client is open to the other collections._x000a_"/>
    <m/>
  </r>
  <r>
    <s v="Cancelled"/>
    <s v="Cancelled"/>
    <s v="23/8/2024"/>
    <x v="30"/>
    <x v="0"/>
    <x v="340"/>
    <s v="Prospect"/>
    <x v="0"/>
    <s v="The client is very interested in the OVERSEAS STEEL _x000a_"/>
    <m/>
  </r>
  <r>
    <s v="Request"/>
    <s v=""/>
    <s v="22/8/2024"/>
    <x v="3"/>
    <x v="0"/>
    <x v="341"/>
    <s v="Prospect"/>
    <x v="0"/>
    <s v="The client is very interested in the overseas self winding and will love to purchase it upon availability _x000a_"/>
    <m/>
  </r>
  <r>
    <s v="Request"/>
    <s v=""/>
    <s v="21/8/2024"/>
    <x v="3"/>
    <x v="0"/>
    <x v="342"/>
    <s v="Prospect"/>
    <x v="1"/>
    <s v="_x000a_"/>
    <m/>
  </r>
  <r>
    <s v="Request"/>
    <s v="Confirmed"/>
    <s v="15/8/2024"/>
    <x v="18"/>
    <x v="0"/>
    <x v="343"/>
    <s v="Prospect"/>
    <x v="0"/>
    <s v="The client expressed a strong interest in the Overseas chronograph and insisted on being added to the list_x000a_"/>
    <m/>
  </r>
  <r>
    <s v="Request"/>
    <s v=""/>
    <s v="14/8/2024"/>
    <x v="29"/>
    <x v="0"/>
    <x v="344"/>
    <s v="Prospect"/>
    <x v="0"/>
    <s v="The client is interested in both the  Overseas chronographand the  Historiques American 1921_x000a_"/>
    <m/>
  </r>
  <r>
    <s v="Cancelled"/>
    <s v="Cancelled"/>
    <s v="14/8/2024"/>
    <x v="12"/>
    <x v="0"/>
    <x v="345"/>
    <s v="Prospect"/>
    <x v="1"/>
    <s v="The client mentioned that he has AP-Royal Oak and Rolex timepieces and he really fond of our timepieces and would like to acquire one._x000a_"/>
    <m/>
  </r>
  <r>
    <s v="Cancelled"/>
    <s v="Cancelled"/>
    <s v="14/8/2024"/>
    <x v="8"/>
    <x v="0"/>
    <x v="345"/>
    <s v="Prospect"/>
    <x v="1"/>
    <s v="The client mentioned that he has AP-Royal Oak and Rolex timepieces and he really fond of our timepieces and would like to acquire one._x000a_"/>
    <m/>
  </r>
  <r>
    <s v="Cancelled"/>
    <s v="Cancelled"/>
    <s v="10/8/2024"/>
    <x v="0"/>
    <x v="0"/>
    <x v="68"/>
    <s v="Prospect"/>
    <x v="1"/>
    <s v="The client would like to acquire this timepiece as a gift for his father’s 58th birthday_x000a_"/>
    <m/>
  </r>
  <r>
    <s v="Cancelled"/>
    <s v="Cancelled"/>
    <s v="8/8/2024"/>
    <x v="22"/>
    <x v="0"/>
    <x v="203"/>
    <s v="Prospect"/>
    <x v="1"/>
    <s v="The client is willing to come to UAE if opportunity arises so he can gift himself a Vacheron Constantin timepiece since he turned 50 this year_x000a_"/>
    <m/>
  </r>
  <r>
    <s v="Cancelled"/>
    <s v="Cancelled"/>
    <s v="8/8/2024"/>
    <x v="5"/>
    <x v="0"/>
    <x v="203"/>
    <s v="Prospect"/>
    <x v="1"/>
    <s v="The client is willing to come to UAE if opportunity arises so he can gift himself a Vacheron Constantin timepiece since he turned 50 this year_x000a_"/>
    <m/>
  </r>
  <r>
    <s v="Cancelled"/>
    <s v="Cancelled"/>
    <s v="8/8/2024"/>
    <x v="17"/>
    <x v="0"/>
    <x v="346"/>
    <s v="Prospect"/>
    <x v="1"/>
    <s v="_x000a_"/>
    <m/>
  </r>
  <r>
    <s v="Sold"/>
    <s v="Confirmed"/>
    <s v="8/8/2024"/>
    <x v="5"/>
    <x v="0"/>
    <x v="347"/>
    <s v="Prospect"/>
    <x v="2"/>
    <s v="The client was told to come to pay a deposit. He stated hes willing to do that and dont mind that _x000a_"/>
    <m/>
  </r>
  <r>
    <s v="Request"/>
    <s v=""/>
    <s v="8/8/2024"/>
    <x v="37"/>
    <x v="0"/>
    <x v="348"/>
    <s v="Prospect"/>
    <x v="0"/>
    <s v="The client stated that hes will to come to the boutique to pay the full amount _x000a_"/>
    <m/>
  </r>
  <r>
    <s v="Cancelled"/>
    <s v="Cancelled"/>
    <s v="7/8/2024"/>
    <x v="12"/>
    <x v="0"/>
    <x v="349"/>
    <s v="Prospect"/>
    <x v="1"/>
    <s v="The client is looking for a gift for his father and willing to come to UAE for purchase_x000a_"/>
    <m/>
  </r>
  <r>
    <s v="Cancelled"/>
    <s v="Cancelled"/>
    <s v="7/8/2024"/>
    <x v="6"/>
    <x v="0"/>
    <x v="349"/>
    <s v="Prospect"/>
    <x v="1"/>
    <s v="The client is looking for a gift for his father’s birthday and willing to come to UAE_x000a_"/>
    <m/>
  </r>
  <r>
    <s v="Cancelled"/>
    <s v="Cancelled"/>
    <s v="6/8/2024"/>
    <x v="3"/>
    <x v="0"/>
    <x v="203"/>
    <s v="Prospect"/>
    <x v="1"/>
    <s v="The client is willing to come to the UAE to get the timepiece. _x000a_"/>
    <m/>
  </r>
  <r>
    <s v="Request"/>
    <s v="Postponed"/>
    <s v="6/8/2024"/>
    <x v="15"/>
    <x v="0"/>
    <x v="203"/>
    <s v="Prospect"/>
    <x v="1"/>
    <s v="The client is willing to come to India to get the timepiece_x000a_"/>
    <m/>
  </r>
  <r>
    <s v="Cancelled"/>
    <s v="Cancelled"/>
    <s v="6/8/2024"/>
    <x v="15"/>
    <x v="0"/>
    <x v="350"/>
    <s v="Prospect"/>
    <x v="1"/>
    <s v="The client is willing to travel to UAE to get this timepiece_x000a_"/>
    <m/>
  </r>
  <r>
    <s v="Cancelled"/>
    <s v="Cancelled"/>
    <s v="6/8/2024"/>
    <x v="38"/>
    <x v="0"/>
    <x v="350"/>
    <s v="Prospect"/>
    <x v="1"/>
    <s v="The client is willing to come to India to purchase the timepiece_x000a_"/>
    <m/>
  </r>
  <r>
    <s v="Request"/>
    <s v=""/>
    <s v="24/7/2024"/>
    <x v="24"/>
    <x v="0"/>
    <x v="351"/>
    <s v="Prospect"/>
    <x v="0"/>
    <s v="The client is interested in the fiftysix 600E/000A-B442 as well  Overseas chronograph X55AC481_x000a_"/>
    <m/>
  </r>
  <r>
    <s v="Request"/>
    <s v=""/>
    <s v="24/7/2024"/>
    <x v="13"/>
    <x v="0"/>
    <x v="352"/>
    <s v="Prospect"/>
    <x v="0"/>
    <s v="The client stated that once we confirm the availability of the watch he will be traveling to UAE to purchase _x000a_"/>
    <m/>
  </r>
  <r>
    <s v="Request"/>
    <s v=""/>
    <s v="23/7/2024"/>
    <x v="3"/>
    <x v="0"/>
    <x v="353"/>
    <s v="Prospect"/>
    <x v="0"/>
    <s v="The client is interested in the oversease self winding  living in Dubai _x000a_"/>
    <m/>
  </r>
  <r>
    <s v="Request"/>
    <s v=""/>
    <s v="23/7/2024"/>
    <x v="3"/>
    <x v="0"/>
    <x v="354"/>
    <s v="Prospect"/>
    <x v="0"/>
    <s v="The client ins interested in 2 timepeices ( 6000V/110A-B544 \ 4520V/210A-B128)_x000a_"/>
    <m/>
  </r>
  <r>
    <s v="Cancelled"/>
    <s v="Cancelled"/>
    <s v="20/7/2024"/>
    <x v="32"/>
    <x v="0"/>
    <x v="355"/>
    <s v="Prospect"/>
    <x v="0"/>
    <s v="The client would like to purchase one of the 2 overseas , either [Overseas tourbillon](https://richemont.lightning.force.com/lightning/r/01t1i000003IYweAAG/view) or the Overseas self-winding _x000a__x000a__x000a_"/>
    <m/>
  </r>
  <r>
    <s v="Request"/>
    <s v=""/>
    <s v="17/7/2024"/>
    <x v="3"/>
    <x v="0"/>
    <x v="356"/>
    <s v="Prospect"/>
    <x v="0"/>
    <s v="the client is interested in purchasing the **[Overseas self-winding ](https://richemont.lightning.force.com/lightning/r/01t1i000004DWYiAAO/view)**_x000a_"/>
    <m/>
  </r>
  <r>
    <s v="Request"/>
    <s v=""/>
    <s v="16/7/2024"/>
    <x v="3"/>
    <x v="0"/>
    <x v="357"/>
    <s v="Prospect"/>
    <x v="0"/>
    <s v="The client wish to be added to the waiting list _x000a_"/>
    <m/>
  </r>
  <r>
    <s v="Request"/>
    <s v="Pending client feedback"/>
    <s v="16/7/2024"/>
    <x v="39"/>
    <x v="0"/>
    <x v="358"/>
    <s v="Prospect"/>
    <x v="0"/>
    <s v="The client is interested in Traditionnelle tourbillon chronograph, _x000a_"/>
    <m/>
  </r>
  <r>
    <s v="Request"/>
    <s v="Pending client feedback"/>
    <s v="13/7/2024"/>
    <x v="12"/>
    <x v="0"/>
    <x v="359"/>
    <s v="Prospect"/>
    <x v="0"/>
    <s v="The client is interested in the  Overseas dual time “ very interested _x000a_"/>
    <m/>
  </r>
  <r>
    <s v="Request"/>
    <s v=""/>
    <s v="10/7/2024"/>
    <x v="12"/>
    <x v="0"/>
    <x v="360"/>
    <s v="Prospect"/>
    <x v="0"/>
    <s v="Mr. Ahmad, who has previously expressed his interest in the Overseas Dual Time, has been in communication with Yasser. We have committed to contacting Mr. Ahmad once the timepiece becomes available._x000a_"/>
    <m/>
  </r>
  <r>
    <s v="Request"/>
    <s v=""/>
    <s v="5/7/2024"/>
    <x v="3"/>
    <x v="0"/>
    <x v="361"/>
    <s v="Prospect"/>
    <x v="2"/>
    <s v=""/>
    <m/>
  </r>
  <r>
    <s v="Request"/>
    <s v=""/>
    <s v="4/7/2024"/>
    <x v="3"/>
    <x v="0"/>
    <x v="362"/>
    <s v="Prospect"/>
    <x v="2"/>
    <s v="Client for Maaz_x000a_"/>
    <m/>
  </r>
  <r>
    <s v="Request"/>
    <s v=""/>
    <s v="28/6/2024"/>
    <x v="3"/>
    <x v="0"/>
    <x v="363"/>
    <s v="Prospect"/>
    <x v="2"/>
    <s v="Client lives in Cyprus and has an office in UAE_x000a_"/>
    <m/>
  </r>
  <r>
    <s v="Cancelled"/>
    <s v="Cancelled"/>
    <s v="28/6/2024"/>
    <x v="17"/>
    <x v="0"/>
    <x v="364"/>
    <s v="Prospect"/>
    <x v="2"/>
    <s v=""/>
    <m/>
  </r>
  <r>
    <s v="Request"/>
    <s v=""/>
    <s v="25/6/2024"/>
    <x v="3"/>
    <x v="0"/>
    <x v="189"/>
    <s v="Prospect"/>
    <x v="2"/>
    <s v="Client would like to build a relation with the btq to purchase a piece in the occasion of celebrating the opening of a new branch of his business._x000a_"/>
    <m/>
  </r>
  <r>
    <s v="Cancelled"/>
    <s v="Cancelled"/>
    <s v="22/6/2024"/>
    <x v="40"/>
    <x v="0"/>
    <x v="365"/>
    <s v="Prospect"/>
    <x v="2"/>
    <s v="Client is interested in this model and also the Overseas tourbillon Skeleton._x000a_"/>
    <m/>
  </r>
  <r>
    <s v="Request"/>
    <s v=""/>
    <s v="20/6/2024"/>
    <x v="3"/>
    <x v="0"/>
    <x v="366"/>
    <s v="Prospect"/>
    <x v="2"/>
    <s v="Client is in India would like to add his name to the waiting list in Dubai._x000a_"/>
    <m/>
  </r>
  <r>
    <s v="Request"/>
    <s v=""/>
    <s v="20/6/2024"/>
    <x v="3"/>
    <x v="0"/>
    <x v="367"/>
    <s v="Prospect"/>
    <x v="2"/>
    <s v="Client would like to add his name to the waiting list of the Overseas self winding in steel with blue dial_x000a_"/>
    <m/>
  </r>
  <r>
    <s v="Cancelled"/>
    <s v="Cancelled"/>
    <s v="20/6/2024"/>
    <x v="28"/>
    <x v="0"/>
    <x v="368"/>
    <s v="Prospect"/>
    <x v="2"/>
    <s v="The client is interested in the timepiece_x000a_"/>
    <m/>
  </r>
  <r>
    <s v="Cancelled"/>
    <s v="Cancelled"/>
    <s v="20/6/2024"/>
    <x v="27"/>
    <x v="0"/>
    <x v="368"/>
    <s v="Prospect"/>
    <x v="2"/>
    <s v="The client is interested in the timepiece_x000a_"/>
    <m/>
  </r>
  <r>
    <s v="Request"/>
    <s v=""/>
    <s v="19/6/2024"/>
    <x v="3"/>
    <x v="0"/>
    <x v="369"/>
    <s v="Prospect"/>
    <x v="2"/>
    <s v="The client is interested in the Overseas self-winding . ready to pay deposit _x000a__x000a__x000a_"/>
    <m/>
  </r>
  <r>
    <s v="Request"/>
    <s v=""/>
    <s v="19/6/2024"/>
    <x v="3"/>
    <x v="0"/>
    <x v="370"/>
    <s v="Prospect"/>
    <x v="2"/>
    <s v="The client is interested and would like to proceed Overseas self-winding_x000a_"/>
    <m/>
  </r>
  <r>
    <s v="Request"/>
    <s v=""/>
    <s v="18/6/2024"/>
    <x v="3"/>
    <x v="0"/>
    <x v="165"/>
    <s v="Prospect"/>
    <x v="2"/>
    <s v="The client is interested in the timepiece and not open for other options _x000a_"/>
    <m/>
  </r>
  <r>
    <s v="Request"/>
    <s v=""/>
    <s v="15/6/2024"/>
    <x v="3"/>
    <x v="0"/>
    <x v="371"/>
    <s v="Prospect"/>
    <x v="2"/>
    <s v=""/>
    <m/>
  </r>
  <r>
    <s v="Cancelled"/>
    <s v="Cancelled"/>
    <s v="14/6/2024"/>
    <x v="13"/>
    <x v="0"/>
    <x v="372"/>
    <s v="Prospect"/>
    <x v="2"/>
    <s v="Client asked to add her name into the waiting list for the historiques 222_x000a_"/>
    <m/>
  </r>
  <r>
    <s v="Cancelled"/>
    <s v="Cancelled"/>
    <s v="13/6/2024"/>
    <x v="4"/>
    <x v="0"/>
    <x v="373"/>
    <s v="Prospect"/>
    <x v="2"/>
    <s v="The client is very interested in this timepiece._x000a_"/>
    <m/>
  </r>
  <r>
    <s v="Request"/>
    <s v=""/>
    <s v="8/6/2024"/>
    <x v="3"/>
    <x v="0"/>
    <x v="374"/>
    <s v="Client"/>
    <x v="2"/>
    <s v="The client would like to register to the waiting list _x000a_"/>
    <m/>
  </r>
  <r>
    <s v="Cancelled"/>
    <s v="Cancelled"/>
    <s v="8/4/2024"/>
    <x v="13"/>
    <x v="0"/>
    <x v="375"/>
    <s v="Client"/>
    <x v="1"/>
    <s v=""/>
    <m/>
  </r>
  <r>
    <s v="Cancelled"/>
    <s v="Cancelled"/>
    <s v="30/3/2024"/>
    <x v="41"/>
    <x v="0"/>
    <x v="376"/>
    <s v="Prospect"/>
    <x v="2"/>
    <s v=""/>
    <m/>
  </r>
  <r>
    <s v="Request"/>
    <s v=""/>
    <s v="8/3/2024"/>
    <x v="3"/>
    <x v="0"/>
    <x v="377"/>
    <s v="Prospect"/>
    <x v="2"/>
    <s v=""/>
    <m/>
  </r>
  <r>
    <s v="Request"/>
    <s v=""/>
    <s v="7/3/2024"/>
    <x v="0"/>
    <x v="0"/>
    <x v="378"/>
    <s v="Prospect"/>
    <x v="0"/>
    <s v=""/>
    <m/>
  </r>
  <r>
    <s v="Request"/>
    <s v="Pending client feedback"/>
    <s v="1/3/2024"/>
    <x v="3"/>
    <x v="0"/>
    <x v="379"/>
    <s v="Prospect"/>
    <x v="1"/>
    <s v=""/>
    <m/>
  </r>
  <r>
    <s v="Request"/>
    <s v=""/>
    <s v="25/2/2024"/>
    <x v="3"/>
    <x v="0"/>
    <x v="380"/>
    <s v="Client"/>
    <x v="2"/>
    <s v=""/>
    <m/>
  </r>
  <r>
    <s v="Request"/>
    <s v=""/>
    <s v="25/2/2024"/>
    <x v="3"/>
    <x v="0"/>
    <x v="381"/>
    <s v="Prospect"/>
    <x v="0"/>
    <s v=""/>
    <m/>
  </r>
  <r>
    <s v="Request"/>
    <s v="Postponed"/>
    <s v="21/2/2024"/>
    <x v="3"/>
    <x v="0"/>
    <x v="382"/>
    <s v="Prospect"/>
    <x v="1"/>
    <s v=""/>
    <m/>
  </r>
  <r>
    <s v="Request"/>
    <s v="Postponed"/>
    <s v="14/2/2024"/>
    <x v="12"/>
    <x v="0"/>
    <x v="382"/>
    <s v="Prospect"/>
    <x v="1"/>
    <s v=""/>
    <m/>
  </r>
  <r>
    <s v="Request"/>
    <s v=""/>
    <s v="14/2/2024"/>
    <x v="3"/>
    <x v="0"/>
    <x v="383"/>
    <s v="Prospect"/>
    <x v="0"/>
    <s v=""/>
    <m/>
  </r>
  <r>
    <s v="Cancelled"/>
    <s v="Cancelled"/>
    <s v="7/2/2024"/>
    <x v="42"/>
    <x v="0"/>
    <x v="384"/>
    <s v="Prospect"/>
    <x v="1"/>
    <s v=""/>
    <m/>
  </r>
  <r>
    <s v="Sold"/>
    <s v="Confirmed"/>
    <s v="26/1/2024"/>
    <x v="30"/>
    <x v="0"/>
    <x v="385"/>
    <s v="Prospect"/>
    <x v="2"/>
    <s v=""/>
    <m/>
  </r>
  <r>
    <s v="Request"/>
    <s v=""/>
    <s v="19/1/2024"/>
    <x v="41"/>
    <x v="0"/>
    <x v="386"/>
    <s v="Prospect"/>
    <x v="0"/>
    <s v="Client’s wedding is in November 2024 and would like to purchase the timepiece and wear it on his day_x000a_"/>
    <m/>
  </r>
  <r>
    <s v="Cancelled"/>
    <s v="Cancelled"/>
    <s v="19/1/2024"/>
    <x v="19"/>
    <x v="0"/>
    <x v="387"/>
    <s v="Prospect"/>
    <x v="1"/>
    <s v=""/>
    <m/>
  </r>
  <r>
    <s v="Cancelled"/>
    <s v="Cancelled"/>
    <s v="10/1/2024"/>
    <x v="43"/>
    <x v="0"/>
    <x v="388"/>
    <s v="Prospect"/>
    <x v="2"/>
    <s v=""/>
    <m/>
  </r>
  <r>
    <s v="Request"/>
    <s v=""/>
    <s v="1/1/2024"/>
    <x v="16"/>
    <x v="0"/>
    <x v="389"/>
    <s v="Prospect"/>
    <x v="0"/>
    <s v=""/>
    <m/>
  </r>
  <r>
    <s v="Cancelled"/>
    <s v="Cancelled"/>
    <s v="26/12/2023"/>
    <x v="43"/>
    <x v="0"/>
    <x v="390"/>
    <s v="Prospect"/>
    <x v="1"/>
    <s v=""/>
    <m/>
  </r>
  <r>
    <s v="Cancelled"/>
    <s v="Cancelled"/>
    <s v="17/12/2023"/>
    <x v="16"/>
    <x v="0"/>
    <x v="391"/>
    <s v="Prospect"/>
    <x v="2"/>
    <s v=""/>
    <m/>
  </r>
  <r>
    <s v="Request"/>
    <s v=""/>
    <s v="15/12/2023"/>
    <x v="12"/>
    <x v="0"/>
    <x v="392"/>
    <s v="Prospect"/>
    <x v="0"/>
    <s v=""/>
    <m/>
  </r>
  <r>
    <s v="Request"/>
    <s v=""/>
    <s v="9/12/2023"/>
    <x v="12"/>
    <x v="0"/>
    <x v="393"/>
    <s v="Client"/>
    <x v="1"/>
    <s v=""/>
    <m/>
  </r>
  <r>
    <s v="Cancelled"/>
    <s v="Cancelled"/>
    <s v="24/11/2023"/>
    <x v="12"/>
    <x v="0"/>
    <x v="394"/>
    <s v="Prospect"/>
    <x v="2"/>
    <s v=""/>
    <m/>
  </r>
  <r>
    <s v="Request"/>
    <s v=""/>
    <s v="21/11/2023"/>
    <x v="3"/>
    <x v="0"/>
    <x v="395"/>
    <s v="Prospect"/>
    <x v="0"/>
    <s v=""/>
    <m/>
  </r>
  <r>
    <s v="Sold"/>
    <s v="Confirmed"/>
    <s v="21/11/2023"/>
    <x v="3"/>
    <x v="0"/>
    <x v="396"/>
    <s v="Prospect"/>
    <x v="3"/>
    <s v=""/>
    <m/>
  </r>
  <r>
    <s v="Cancelled"/>
    <s v="Cancelled"/>
    <s v="13/11/2023"/>
    <x v="44"/>
    <x v="0"/>
    <x v="397"/>
    <s v="Prospect"/>
    <x v="2"/>
    <s v=""/>
    <m/>
  </r>
  <r>
    <s v="Request"/>
    <s v=""/>
    <s v="13/11/2023"/>
    <x v="3"/>
    <x v="0"/>
    <x v="398"/>
    <s v="Prospect"/>
    <x v="0"/>
    <s v=""/>
    <m/>
  </r>
  <r>
    <s v="Request"/>
    <s v="Confirmed"/>
    <s v="7/11/2023"/>
    <x v="3"/>
    <x v="0"/>
    <x v="399"/>
    <s v="Prospect"/>
    <x v="1"/>
    <s v=""/>
    <m/>
  </r>
  <r>
    <s v="Request"/>
    <s v=""/>
    <s v="3/11/2023"/>
    <x v="3"/>
    <x v="0"/>
    <x v="400"/>
    <s v="Prospect"/>
    <x v="2"/>
    <s v="Client does not want to subscribe to marketing, he just needs a contact if the piece is available._x000a_"/>
    <m/>
  </r>
  <r>
    <s v="Cancelled"/>
    <s v="Cancelled"/>
    <s v="1/11/2023"/>
    <x v="32"/>
    <x v="0"/>
    <x v="401"/>
    <s v="Prospect"/>
    <x v="2"/>
    <s v=""/>
    <m/>
  </r>
  <r>
    <s v="Request"/>
    <s v=""/>
    <s v="29/10/2023"/>
    <x v="28"/>
    <x v="0"/>
    <x v="402"/>
    <s v="Prospect"/>
    <x v="0"/>
    <s v=""/>
    <m/>
  </r>
  <r>
    <s v="Request"/>
    <s v=""/>
    <s v="22/10/2023"/>
    <x v="3"/>
    <x v="0"/>
    <x v="403"/>
    <s v="Prospect"/>
    <x v="1"/>
    <s v="The client’s main residence is in Saudi Arabia, and he wants to register on the waiting list of UAE_x000a_"/>
    <m/>
  </r>
  <r>
    <s v="Cancelled"/>
    <s v="Cancelled"/>
    <s v="21/10/2023"/>
    <x v="0"/>
    <x v="0"/>
    <x v="404"/>
    <s v="Prospect"/>
    <x v="2"/>
    <s v=""/>
    <m/>
  </r>
  <r>
    <s v="Sold"/>
    <s v=""/>
    <s v="20/10/2023"/>
    <x v="13"/>
    <x v="0"/>
    <x v="405"/>
    <s v="Prospect"/>
    <x v="0"/>
    <s v=""/>
    <m/>
  </r>
  <r>
    <s v="Request"/>
    <s v=""/>
    <s v="15/10/2023"/>
    <x v="3"/>
    <x v="0"/>
    <x v="406"/>
    <s v="Prospect"/>
    <x v="1"/>
    <s v=""/>
    <m/>
  </r>
  <r>
    <s v="Cancelled"/>
    <s v="Cancelled"/>
    <s v="11/10/2023"/>
    <x v="28"/>
    <x v="0"/>
    <x v="407"/>
    <s v="Prospect"/>
    <x v="2"/>
    <s v=""/>
    <m/>
  </r>
  <r>
    <s v="Request"/>
    <s v=""/>
    <s v="9/10/2023"/>
    <x v="3"/>
    <x v="0"/>
    <x v="408"/>
    <s v="Prospect"/>
    <x v="2"/>
    <s v=""/>
    <m/>
  </r>
  <r>
    <s v="Request"/>
    <s v=""/>
    <s v="8/10/2023"/>
    <x v="3"/>
    <x v="0"/>
    <x v="409"/>
    <s v="Client"/>
    <x v="0"/>
    <s v=""/>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F5B86D-75F8-4B58-B837-858F3017F852}" name="PivotTable2" cacheId="0" applyNumberFormats="0" applyBorderFormats="0" applyFontFormats="0" applyPatternFormats="0" applyAlignmentFormats="0" applyWidthHeightFormats="1" dataCaption="Values" missingCaption="0" updatedVersion="8" minRefreshableVersion="3" showDrill="0" useAutoFormatting="1" itemPrintTitles="1" createdVersion="8" indent="0" compact="0" compactData="0" multipleFieldFilters="0">
  <location ref="A4:F10" firstHeaderRow="1" firstDataRow="3" firstDataCol="2" rowPageCount="2" colPageCount="1"/>
  <pivotFields count="38">
    <pivotField dataField="1" compact="0" outline="0" showAll="0" defaultSubtotal="0"/>
    <pivotField compact="0" outline="0" showAll="0" defaultSubtotal="0"/>
    <pivotField compact="0" outline="0" showAll="0" defaultSubtotal="0"/>
    <pivotField axis="axisRow" compact="0" outline="0" showAll="0" defaultSubtotal="0">
      <items count="6">
        <item x="0"/>
        <item x="1"/>
        <item x="4"/>
        <item x="3"/>
        <item x="2"/>
        <item x="5"/>
      </items>
    </pivotField>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5">
        <item x="2"/>
        <item x="0"/>
        <item x="1"/>
        <item m="1" x="4"/>
        <item x="3"/>
      </items>
    </pivotField>
    <pivotField axis="axisPage" compact="0" outline="0" showAll="0" defaultSubtotal="0">
      <items count="7">
        <item x="1"/>
        <item x="2"/>
        <item x="4"/>
        <item x="6"/>
        <item x="5"/>
        <item x="0"/>
        <item x="3"/>
      </items>
    </pivotField>
    <pivotField axis="axisPage" compact="0" outline="0" showAll="0" defaultSubtotal="0">
      <items count="4">
        <item x="0"/>
        <item x="2"/>
        <item x="1"/>
        <item x="3"/>
      </items>
    </pivotField>
    <pivotField compact="0" outline="0" showAll="0" defaultSubtotal="0"/>
    <pivotField axis="axisRow" compact="0" outline="0" showAll="0" defaultSubtotal="0">
      <items count="26">
        <item x="5"/>
        <item x="10"/>
        <item m="1" x="22"/>
        <item x="2"/>
        <item m="1" x="21"/>
        <item x="8"/>
        <item m="1" x="24"/>
        <item x="4"/>
        <item x="13"/>
        <item x="3"/>
        <item m="1" x="25"/>
        <item x="1"/>
        <item x="9"/>
        <item x="0"/>
        <item x="14"/>
        <item x="12"/>
        <item x="11"/>
        <item x="18"/>
        <item x="15"/>
        <item m="1" x="23"/>
        <item x="16"/>
        <item m="1" x="20"/>
        <item x="17"/>
        <item x="6"/>
        <item x="7"/>
        <item x="19"/>
      </items>
    </pivotField>
    <pivotField compact="0" outline="0" showAll="0" defaultSubtotal="0"/>
    <pivotField compact="0" outline="0" showAll="0" defaultSubtotal="0"/>
    <pivotField dataField="1" compact="0" outline="0" showAll="0" defaultSubtotal="0"/>
    <pivotField compact="0" outline="0" showAll="0" defaultSubtotal="0"/>
    <pivotField compact="0" outline="0" subtotalTop="0" showAll="0" defaultSubtotal="0"/>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s>
  <rowFields count="2">
    <field x="3"/>
    <field x="12"/>
  </rowFields>
  <rowItems count="4">
    <i>
      <x v="2"/>
      <x/>
    </i>
    <i>
      <x v="3"/>
      <x v="24"/>
    </i>
    <i>
      <x v="4"/>
      <x/>
    </i>
    <i t="grand">
      <x/>
    </i>
  </rowItems>
  <colFields count="2">
    <field x="8"/>
    <field x="-2"/>
  </colFields>
  <colItems count="4">
    <i>
      <x v="1"/>
      <x/>
    </i>
    <i r="1" i="1">
      <x v="1"/>
    </i>
    <i t="grand">
      <x/>
    </i>
    <i t="grand" i="1">
      <x/>
    </i>
  </colItems>
  <pageFields count="2">
    <pageField fld="9" item="1" hier="-1"/>
    <pageField fld="10" item="0" hier="-1"/>
  </pageFields>
  <dataFields count="2">
    <dataField name="Count of Timepieces" fld="0" subtotal="count" baseField="12" baseItem="14"/>
    <dataField name="Amount" fld="15" baseField="12" baseItem="13"/>
  </dataFields>
  <formats count="66">
    <format dxfId="461">
      <pivotArea collapsedLevelsAreSubtotals="1" fieldPosition="0">
        <references count="2">
          <reference field="4294967294" count="1" selected="0">
            <x v="1"/>
          </reference>
          <reference field="3" count="1">
            <x v="0"/>
          </reference>
        </references>
      </pivotArea>
    </format>
    <format dxfId="460">
      <pivotArea collapsedLevelsAreSubtotals="1" fieldPosition="0">
        <references count="3">
          <reference field="4294967294" count="1" selected="0">
            <x v="1"/>
          </reference>
          <reference field="3" count="1" selected="0">
            <x v="0"/>
          </reference>
          <reference field="12" count="5">
            <x v="1"/>
            <x v="3"/>
            <x v="9"/>
            <x v="11"/>
            <x v="13"/>
          </reference>
        </references>
      </pivotArea>
    </format>
    <format dxfId="459">
      <pivotArea collapsedLevelsAreSubtotals="1" fieldPosition="0">
        <references count="2">
          <reference field="4294967294" count="1" selected="0">
            <x v="1"/>
          </reference>
          <reference field="3" count="1">
            <x v="1"/>
          </reference>
        </references>
      </pivotArea>
    </format>
    <format dxfId="458">
      <pivotArea collapsedLevelsAreSubtotals="1" fieldPosition="0">
        <references count="3">
          <reference field="4294967294" count="1" selected="0">
            <x v="1"/>
          </reference>
          <reference field="3" count="1" selected="0">
            <x v="1"/>
          </reference>
          <reference field="12" count="1">
            <x v="7"/>
          </reference>
        </references>
      </pivotArea>
    </format>
    <format dxfId="457">
      <pivotArea collapsedLevelsAreSubtotals="1" fieldPosition="0">
        <references count="2">
          <reference field="4294967294" count="1" selected="0">
            <x v="1"/>
          </reference>
          <reference field="3" count="1">
            <x v="2"/>
          </reference>
        </references>
      </pivotArea>
    </format>
    <format dxfId="456">
      <pivotArea collapsedLevelsAreSubtotals="1" fieldPosition="0">
        <references count="3">
          <reference field="4294967294" count="1" selected="0">
            <x v="1"/>
          </reference>
          <reference field="3" count="1" selected="0">
            <x v="2"/>
          </reference>
          <reference field="12" count="10">
            <x v="0"/>
            <x v="1"/>
            <x v="5"/>
            <x v="8"/>
            <x v="9"/>
            <x v="12"/>
            <x v="13"/>
            <x v="14"/>
            <x v="15"/>
            <x v="16"/>
          </reference>
        </references>
      </pivotArea>
    </format>
    <format dxfId="455">
      <pivotArea collapsedLevelsAreSubtotals="1" fieldPosition="0">
        <references count="2">
          <reference field="4294967294" count="1" selected="0">
            <x v="1"/>
          </reference>
          <reference field="3" count="1">
            <x v="3"/>
          </reference>
        </references>
      </pivotArea>
    </format>
    <format dxfId="454">
      <pivotArea collapsedLevelsAreSubtotals="1" fieldPosition="0">
        <references count="3">
          <reference field="4294967294" count="1" selected="0">
            <x v="1"/>
          </reference>
          <reference field="3" count="1" selected="0">
            <x v="3"/>
          </reference>
          <reference field="12" count="2">
            <x v="4"/>
            <x v="14"/>
          </reference>
        </references>
      </pivotArea>
    </format>
    <format dxfId="453">
      <pivotArea collapsedLevelsAreSubtotals="1" fieldPosition="0">
        <references count="2">
          <reference field="4294967294" count="1" selected="0">
            <x v="1"/>
          </reference>
          <reference field="3" count="1">
            <x v="4"/>
          </reference>
        </references>
      </pivotArea>
    </format>
    <format dxfId="452">
      <pivotArea collapsedLevelsAreSubtotals="1" fieldPosition="0">
        <references count="3">
          <reference field="4294967294" count="1" selected="0">
            <x v="1"/>
          </reference>
          <reference field="3" count="1" selected="0">
            <x v="4"/>
          </reference>
          <reference field="12" count="4">
            <x v="0"/>
            <x v="2"/>
            <x v="6"/>
            <x v="12"/>
          </reference>
        </references>
      </pivotArea>
    </format>
    <format dxfId="451">
      <pivotArea collapsedLevelsAreSubtotals="1" fieldPosition="0">
        <references count="2">
          <reference field="4294967294" count="1" selected="0">
            <x v="1"/>
          </reference>
          <reference field="3" count="1">
            <x v="5"/>
          </reference>
        </references>
      </pivotArea>
    </format>
    <format dxfId="450">
      <pivotArea collapsedLevelsAreSubtotals="1" fieldPosition="0">
        <references count="3">
          <reference field="4294967294" count="1" selected="0">
            <x v="1"/>
          </reference>
          <reference field="3" count="1" selected="0">
            <x v="5"/>
          </reference>
          <reference field="12" count="1">
            <x v="17"/>
          </reference>
        </references>
      </pivotArea>
    </format>
    <format dxfId="449">
      <pivotArea type="all" dataOnly="0" outline="0" fieldPosition="0"/>
    </format>
    <format dxfId="448">
      <pivotArea outline="0" collapsedLevelsAreSubtotals="1" fieldPosition="0"/>
    </format>
    <format dxfId="447">
      <pivotArea field="3" type="button" dataOnly="0" labelOnly="1" outline="0" axis="axisRow" fieldPosition="0"/>
    </format>
    <format dxfId="446">
      <pivotArea dataOnly="0" labelOnly="1" fieldPosition="0">
        <references count="1">
          <reference field="3" count="0"/>
        </references>
      </pivotArea>
    </format>
    <format dxfId="445">
      <pivotArea dataOnly="0" labelOnly="1" grandRow="1" outline="0" fieldPosition="0"/>
    </format>
    <format dxfId="444">
      <pivotArea dataOnly="0" labelOnly="1" fieldPosition="0">
        <references count="2">
          <reference field="3" count="1" selected="0">
            <x v="0"/>
          </reference>
          <reference field="12" count="5">
            <x v="1"/>
            <x v="3"/>
            <x v="9"/>
            <x v="11"/>
            <x v="13"/>
          </reference>
        </references>
      </pivotArea>
    </format>
    <format dxfId="443">
      <pivotArea dataOnly="0" labelOnly="1" fieldPosition="0">
        <references count="2">
          <reference field="3" count="1" selected="0">
            <x v="1"/>
          </reference>
          <reference field="12" count="1">
            <x v="7"/>
          </reference>
        </references>
      </pivotArea>
    </format>
    <format dxfId="442">
      <pivotArea dataOnly="0" labelOnly="1" fieldPosition="0">
        <references count="2">
          <reference field="3" count="1" selected="0">
            <x v="2"/>
          </reference>
          <reference field="12" count="10">
            <x v="0"/>
            <x v="1"/>
            <x v="5"/>
            <x v="8"/>
            <x v="9"/>
            <x v="12"/>
            <x v="13"/>
            <x v="14"/>
            <x v="15"/>
            <x v="16"/>
          </reference>
        </references>
      </pivotArea>
    </format>
    <format dxfId="441">
      <pivotArea dataOnly="0" labelOnly="1" fieldPosition="0">
        <references count="2">
          <reference field="3" count="1" selected="0">
            <x v="3"/>
          </reference>
          <reference field="12" count="2">
            <x v="4"/>
            <x v="14"/>
          </reference>
        </references>
      </pivotArea>
    </format>
    <format dxfId="440">
      <pivotArea dataOnly="0" labelOnly="1" fieldPosition="0">
        <references count="2">
          <reference field="3" count="1" selected="0">
            <x v="4"/>
          </reference>
          <reference field="12" count="4">
            <x v="0"/>
            <x v="2"/>
            <x v="6"/>
            <x v="12"/>
          </reference>
        </references>
      </pivotArea>
    </format>
    <format dxfId="439">
      <pivotArea dataOnly="0" labelOnly="1" fieldPosition="0">
        <references count="2">
          <reference field="3" count="1" selected="0">
            <x v="5"/>
          </reference>
          <reference field="12" count="1">
            <x v="17"/>
          </reference>
        </references>
      </pivotArea>
    </format>
    <format dxfId="438">
      <pivotArea dataOnly="0" labelOnly="1" outline="0" fieldPosition="0">
        <references count="1">
          <reference field="4294967294" count="1">
            <x v="1"/>
          </reference>
        </references>
      </pivotArea>
    </format>
    <format dxfId="437">
      <pivotArea type="all" dataOnly="0" outline="0" fieldPosition="0"/>
    </format>
    <format dxfId="436">
      <pivotArea outline="0" collapsedLevelsAreSubtotals="1" fieldPosition="0"/>
    </format>
    <format dxfId="435">
      <pivotArea field="3" type="button" dataOnly="0" labelOnly="1" outline="0" axis="axisRow" fieldPosition="0"/>
    </format>
    <format dxfId="434">
      <pivotArea dataOnly="0" labelOnly="1" fieldPosition="0">
        <references count="1">
          <reference field="3" count="0"/>
        </references>
      </pivotArea>
    </format>
    <format dxfId="433">
      <pivotArea dataOnly="0" labelOnly="1" grandRow="1" outline="0" fieldPosition="0"/>
    </format>
    <format dxfId="432">
      <pivotArea dataOnly="0" labelOnly="1" fieldPosition="0">
        <references count="2">
          <reference field="3" count="1" selected="0">
            <x v="0"/>
          </reference>
          <reference field="12" count="5">
            <x v="1"/>
            <x v="3"/>
            <x v="9"/>
            <x v="11"/>
            <x v="13"/>
          </reference>
        </references>
      </pivotArea>
    </format>
    <format dxfId="431">
      <pivotArea dataOnly="0" labelOnly="1" fieldPosition="0">
        <references count="2">
          <reference field="3" count="1" selected="0">
            <x v="1"/>
          </reference>
          <reference field="12" count="1">
            <x v="7"/>
          </reference>
        </references>
      </pivotArea>
    </format>
    <format dxfId="430">
      <pivotArea dataOnly="0" labelOnly="1" fieldPosition="0">
        <references count="2">
          <reference field="3" count="1" selected="0">
            <x v="2"/>
          </reference>
          <reference field="12" count="10">
            <x v="0"/>
            <x v="1"/>
            <x v="5"/>
            <x v="8"/>
            <x v="9"/>
            <x v="12"/>
            <x v="13"/>
            <x v="14"/>
            <x v="15"/>
            <x v="16"/>
          </reference>
        </references>
      </pivotArea>
    </format>
    <format dxfId="429">
      <pivotArea dataOnly="0" labelOnly="1" fieldPosition="0">
        <references count="2">
          <reference field="3" count="1" selected="0">
            <x v="3"/>
          </reference>
          <reference field="12" count="2">
            <x v="4"/>
            <x v="14"/>
          </reference>
        </references>
      </pivotArea>
    </format>
    <format dxfId="428">
      <pivotArea dataOnly="0" labelOnly="1" fieldPosition="0">
        <references count="2">
          <reference field="3" count="1" selected="0">
            <x v="4"/>
          </reference>
          <reference field="12" count="4">
            <x v="0"/>
            <x v="2"/>
            <x v="6"/>
            <x v="12"/>
          </reference>
        </references>
      </pivotArea>
    </format>
    <format dxfId="427">
      <pivotArea dataOnly="0" labelOnly="1" fieldPosition="0">
        <references count="2">
          <reference field="3" count="1" selected="0">
            <x v="5"/>
          </reference>
          <reference field="12" count="1">
            <x v="17"/>
          </reference>
        </references>
      </pivotArea>
    </format>
    <format dxfId="426">
      <pivotArea dataOnly="0" labelOnly="1" outline="0" fieldPosition="0">
        <references count="1">
          <reference field="4294967294" count="1">
            <x v="1"/>
          </reference>
        </references>
      </pivotArea>
    </format>
    <format dxfId="425">
      <pivotArea outline="0" collapsedLevelsAreSubtotals="1" fieldPosition="0"/>
    </format>
    <format dxfId="424">
      <pivotArea dataOnly="0" labelOnly="1" grandRow="1" outline="0" offset="IV256" fieldPosition="0"/>
    </format>
    <format dxfId="423">
      <pivotArea dataOnly="0" labelOnly="1" outline="0" fieldPosition="0">
        <references count="2">
          <reference field="3" count="1" selected="0">
            <x v="0"/>
          </reference>
          <reference field="12" count="1">
            <x v="13"/>
          </reference>
        </references>
      </pivotArea>
    </format>
    <format dxfId="422">
      <pivotArea dataOnly="0" labelOnly="1" outline="0" fieldPosition="0">
        <references count="2">
          <reference field="3" count="1" selected="0">
            <x v="1"/>
          </reference>
          <reference field="12" count="1">
            <x v="7"/>
          </reference>
        </references>
      </pivotArea>
    </format>
    <format dxfId="421">
      <pivotArea dataOnly="0" labelOnly="1" outline="0" fieldPosition="0">
        <references count="2">
          <reference field="3" count="1" selected="0">
            <x v="2"/>
          </reference>
          <reference field="12" count="1">
            <x v="8"/>
          </reference>
        </references>
      </pivotArea>
    </format>
    <format dxfId="420">
      <pivotArea dataOnly="0" labelOnly="1" outline="0" fieldPosition="0">
        <references count="2">
          <reference field="3" count="1" selected="0">
            <x v="3"/>
          </reference>
          <reference field="12" count="1">
            <x v="14"/>
          </reference>
        </references>
      </pivotArea>
    </format>
    <format dxfId="419">
      <pivotArea dataOnly="0" labelOnly="1" outline="0" fieldPosition="0">
        <references count="2">
          <reference field="3" count="1" selected="0">
            <x v="4"/>
          </reference>
          <reference field="12" count="1">
            <x v="2"/>
          </reference>
        </references>
      </pivotArea>
    </format>
    <format dxfId="418">
      <pivotArea grandRow="1" grandCol="1" outline="0" fieldPosition="0">
        <references count="1">
          <reference field="4294967294" count="1" selected="0">
            <x v="1"/>
          </reference>
        </references>
      </pivotArea>
    </format>
    <format dxfId="417">
      <pivotArea field="8" grandRow="1" outline="0" axis="axisCol" fieldPosition="0">
        <references count="2">
          <reference field="4294967294" count="1" selected="0">
            <x v="1"/>
          </reference>
          <reference field="8" count="1" selected="0">
            <x v="1"/>
          </reference>
        </references>
      </pivotArea>
    </format>
    <format dxfId="416">
      <pivotArea field="8" grandRow="1" outline="0" axis="axisCol" fieldPosition="0">
        <references count="2">
          <reference field="4294967294" count="1" selected="0">
            <x v="0"/>
          </reference>
          <reference field="8" count="1" selected="0">
            <x v="1"/>
          </reference>
        </references>
      </pivotArea>
    </format>
    <format dxfId="415">
      <pivotArea grandRow="1" grandCol="1" outline="0" fieldPosition="0">
        <references count="1">
          <reference field="4294967294" count="1" selected="0">
            <x v="0"/>
          </reference>
        </references>
      </pivotArea>
    </format>
    <format dxfId="414">
      <pivotArea dataOnly="0" labelOnly="1" outline="0" fieldPosition="0">
        <references count="1">
          <reference field="3" count="5">
            <x v="0"/>
            <x v="1"/>
            <x v="2"/>
            <x v="3"/>
            <x v="4"/>
          </reference>
        </references>
      </pivotArea>
    </format>
    <format dxfId="413">
      <pivotArea type="origin" dataOnly="0" labelOnly="1" outline="0" fieldPosition="0"/>
    </format>
    <format dxfId="412">
      <pivotArea type="topRight" dataOnly="0" labelOnly="1" outline="0" fieldPosition="0"/>
    </format>
    <format dxfId="411">
      <pivotArea field="3" type="button" dataOnly="0" labelOnly="1" outline="0" axis="axisRow" fieldPosition="0"/>
    </format>
    <format dxfId="410">
      <pivotArea field="12" type="button" dataOnly="0" labelOnly="1" outline="0" axis="axisRow" fieldPosition="1"/>
    </format>
    <format dxfId="409">
      <pivotArea dataOnly="0" labelOnly="1" outline="0" fieldPosition="0">
        <references count="1">
          <reference field="8" count="1">
            <x v="1"/>
          </reference>
        </references>
      </pivotArea>
    </format>
    <format dxfId="408">
      <pivotArea field="8" dataOnly="0" labelOnly="1" grandCol="1" outline="0" axis="axisCol" fieldPosition="0">
        <references count="1">
          <reference field="4294967294" count="1" selected="0">
            <x v="0"/>
          </reference>
        </references>
      </pivotArea>
    </format>
    <format dxfId="407">
      <pivotArea field="8" dataOnly="0" labelOnly="1" grandCol="1" outline="0" axis="axisCol" fieldPosition="0">
        <references count="1">
          <reference field="4294967294" count="1" selected="0">
            <x v="1"/>
          </reference>
        </references>
      </pivotArea>
    </format>
    <format dxfId="406">
      <pivotArea dataOnly="0" labelOnly="1" outline="0" fieldPosition="0">
        <references count="2">
          <reference field="4294967294" count="2">
            <x v="0"/>
            <x v="1"/>
          </reference>
          <reference field="8" count="1" selected="0">
            <x v="1"/>
          </reference>
        </references>
      </pivotArea>
    </format>
    <format dxfId="405">
      <pivotArea dataOnly="0" labelOnly="1" outline="0" fieldPosition="0">
        <references count="1">
          <reference field="3" count="5">
            <x v="0"/>
            <x v="1"/>
            <x v="2"/>
            <x v="3"/>
            <x v="4"/>
          </reference>
        </references>
      </pivotArea>
    </format>
    <format dxfId="404">
      <pivotArea field="8" type="button" dataOnly="0" labelOnly="1" outline="0" axis="axisCol" fieldPosition="0"/>
    </format>
    <format dxfId="403">
      <pivotArea field="-2" type="button" dataOnly="0" labelOnly="1" outline="0" axis="axisCol" fieldPosition="1"/>
    </format>
    <format dxfId="402">
      <pivotArea field="8" type="button" dataOnly="0" labelOnly="1" outline="0" axis="axisCol" fieldPosition="0"/>
    </format>
    <format dxfId="401">
      <pivotArea field="-2" type="button" dataOnly="0" labelOnly="1" outline="0" axis="axisCol" fieldPosition="1"/>
    </format>
    <format dxfId="400">
      <pivotArea dataOnly="0" labelOnly="1" grandRow="1" outline="0" offset="A256" fieldPosition="0"/>
    </format>
    <format dxfId="399">
      <pivotArea outline="0" fieldPosition="0">
        <references count="4">
          <reference field="4294967294" count="1" selected="0">
            <x v="1"/>
          </reference>
          <reference field="3" count="2" selected="0">
            <x v="2"/>
            <x v="4"/>
          </reference>
          <reference field="8" count="1" selected="0">
            <x v="2"/>
          </reference>
          <reference field="12" count="3" selected="0">
            <x v="2"/>
            <x v="8"/>
            <x v="18"/>
          </reference>
        </references>
      </pivotArea>
    </format>
    <format dxfId="398">
      <pivotArea field="8" grandRow="1" outline="0" axis="axisCol" fieldPosition="0">
        <references count="2">
          <reference field="4294967294" count="1" selected="0">
            <x v="1"/>
          </reference>
          <reference field="8" count="1" selected="0">
            <x v="2"/>
          </reference>
        </references>
      </pivotArea>
    </format>
    <format dxfId="397">
      <pivotArea outline="0" fieldPosition="0">
        <references count="2">
          <reference field="4294967294" count="1" selected="0">
            <x v="1"/>
          </reference>
          <reference field="8" count="1" selected="0">
            <x v="1"/>
          </reference>
        </references>
      </pivotArea>
    </format>
    <format dxfId="396">
      <pivotArea field="12" grandCol="1" outline="0" axis="axisRow" fieldPosition="1">
        <references count="3">
          <reference field="4294967294" count="1" selected="0">
            <x v="1"/>
          </reference>
          <reference field="3" count="1" selected="0">
            <x v="2"/>
          </reference>
          <reference field="12" count="1" selected="0">
            <x v="18"/>
          </reference>
        </references>
      </pivotArea>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E6CC80-45CE-439E-9E39-01561EC13623}" name="PivotTable1"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O2:P13" firstHeaderRow="1" firstDataRow="3" firstDataCol="1"/>
  <pivotFields count="10">
    <pivotField dataField="1" showAll="0" defaultSubtotal="0"/>
    <pivotField showAll="0" defaultSubtotal="0"/>
    <pivotField showAll="0" defaultSubtotal="0"/>
    <pivotField axis="axisCol" showAll="0" defaultSubtotal="0">
      <items count="45">
        <item h="1" x="43"/>
        <item h="1" x="30"/>
        <item h="1" x="42"/>
        <item h="1" x="1"/>
        <item h="1" x="41"/>
        <item h="1" x="25"/>
        <item x="0"/>
        <item h="1" x="11"/>
        <item h="1" x="2"/>
        <item h="1" x="13"/>
        <item h="1" x="10"/>
        <item h="1" x="26"/>
        <item h="1" x="34"/>
        <item h="1" x="38"/>
        <item h="1" x="40"/>
        <item h="1" x="44"/>
        <item h="1" x="28"/>
        <item h="1" x="3"/>
        <item h="1" x="4"/>
        <item h="1" x="15"/>
        <item h="1" x="22"/>
        <item h="1" x="24"/>
        <item h="1" x="16"/>
        <item h="1" x="14"/>
        <item h="1" x="36"/>
        <item h="1" x="31"/>
        <item h="1" x="39"/>
        <item h="1" x="8"/>
        <item h="1" x="29"/>
        <item h="1" x="19"/>
        <item h="1" x="17"/>
        <item h="1" x="18"/>
        <item h="1" x="21"/>
        <item h="1" x="32"/>
        <item h="1" x="20"/>
        <item h="1" x="33"/>
        <item h="1" x="23"/>
        <item h="1" x="37"/>
        <item h="1" x="27"/>
        <item h="1" x="12"/>
        <item h="1" x="6"/>
        <item h="1" x="5"/>
        <item h="1" x="7"/>
        <item h="1" x="35"/>
        <item h="1" x="9"/>
      </items>
    </pivotField>
    <pivotField axis="axisCol" showAll="0" defaultSubtotal="0">
      <items count="1">
        <item x="0"/>
      </items>
    </pivotField>
    <pivotField axis="axisRow" showAll="0" defaultSubtotal="0">
      <items count="410">
        <item x="0"/>
        <item x="300"/>
        <item x="200"/>
        <item x="372"/>
        <item x="373"/>
        <item x="371"/>
        <item x="366"/>
        <item x="370"/>
        <item x="165"/>
        <item x="369"/>
        <item x="368"/>
        <item x="367"/>
        <item x="365"/>
        <item x="189"/>
        <item x="347"/>
        <item x="363"/>
        <item x="187"/>
        <item x="364"/>
        <item x="156"/>
        <item x="362"/>
        <item x="361"/>
        <item x="357"/>
        <item x="360"/>
        <item x="359"/>
        <item x="358"/>
        <item x="356"/>
        <item x="355"/>
        <item x="354"/>
        <item x="353"/>
        <item x="351"/>
        <item x="352"/>
        <item x="350"/>
        <item x="329"/>
        <item x="336"/>
        <item x="203"/>
        <item x="349"/>
        <item x="346"/>
        <item x="348"/>
        <item x="68"/>
        <item x="344"/>
        <item x="345"/>
        <item x="43"/>
        <item x="28"/>
        <item x="343"/>
        <item x="341"/>
        <item x="342"/>
        <item x="340"/>
        <item x="339"/>
        <item x="312"/>
        <item x="338"/>
        <item x="335"/>
        <item x="306"/>
        <item x="205"/>
        <item x="337"/>
        <item x="334"/>
        <item x="331"/>
        <item x="330"/>
        <item x="333"/>
        <item x="242"/>
        <item x="2"/>
        <item x="327"/>
        <item x="322"/>
        <item x="332"/>
        <item x="282"/>
        <item x="325"/>
        <item x="326"/>
        <item x="323"/>
        <item x="134"/>
        <item x="324"/>
        <item x="204"/>
        <item x="318"/>
        <item x="289"/>
        <item x="321"/>
        <item x="311"/>
        <item x="319"/>
        <item x="320"/>
        <item x="317"/>
        <item x="315"/>
        <item x="316"/>
        <item x="313"/>
        <item x="11"/>
        <item x="131"/>
        <item x="47"/>
        <item x="307"/>
        <item x="308"/>
        <item x="290"/>
        <item x="304"/>
        <item x="310"/>
        <item x="303"/>
        <item x="301"/>
        <item x="302"/>
        <item x="299"/>
        <item x="297"/>
        <item x="206"/>
        <item x="298"/>
        <item x="296"/>
        <item x="295"/>
        <item x="72"/>
        <item x="293"/>
        <item x="287"/>
        <item x="286"/>
        <item x="284"/>
        <item x="142"/>
        <item x="283"/>
        <item x="281"/>
        <item x="263"/>
        <item x="279"/>
        <item x="278"/>
        <item x="277"/>
        <item x="276"/>
        <item x="97"/>
        <item x="275"/>
        <item x="273"/>
        <item x="274"/>
        <item x="101"/>
        <item x="264"/>
        <item x="266"/>
        <item x="272"/>
        <item x="267"/>
        <item x="271"/>
        <item x="269"/>
        <item x="66"/>
        <item x="270"/>
        <item x="268"/>
        <item x="261"/>
        <item x="265"/>
        <item x="138"/>
        <item x="241"/>
        <item x="259"/>
        <item x="120"/>
        <item x="155"/>
        <item x="258"/>
        <item x="231"/>
        <item x="215"/>
        <item x="247"/>
        <item x="239"/>
        <item x="243"/>
        <item x="245"/>
        <item x="185"/>
        <item x="250"/>
        <item x="229"/>
        <item x="249"/>
        <item x="246"/>
        <item x="214"/>
        <item x="234"/>
        <item x="225"/>
        <item x="233"/>
        <item x="210"/>
        <item x="53"/>
        <item x="244"/>
        <item x="254"/>
        <item x="237"/>
        <item x="235"/>
        <item x="212"/>
        <item x="251"/>
        <item x="90"/>
        <item x="236"/>
        <item x="213"/>
        <item x="227"/>
        <item x="211"/>
        <item x="217"/>
        <item x="222"/>
        <item x="184"/>
        <item x="255"/>
        <item x="188"/>
        <item x="193"/>
        <item x="221"/>
        <item x="150"/>
        <item x="223"/>
        <item x="172"/>
        <item x="190"/>
        <item x="191"/>
        <item x="192"/>
        <item x="257"/>
        <item x="194"/>
        <item x="176"/>
        <item x="178"/>
        <item x="5"/>
        <item x="197"/>
        <item x="45"/>
        <item x="171"/>
        <item x="201"/>
        <item x="202"/>
        <item x="177"/>
        <item x="140"/>
        <item x="183"/>
        <item x="145"/>
        <item x="175"/>
        <item x="207"/>
        <item x="181"/>
        <item x="129"/>
        <item x="182"/>
        <item x="163"/>
        <item x="143"/>
        <item x="141"/>
        <item x="260"/>
        <item x="162"/>
        <item x="168"/>
        <item x="88"/>
        <item x="170"/>
        <item x="164"/>
        <item x="128"/>
        <item x="160"/>
        <item x="158"/>
        <item x="153"/>
        <item x="151"/>
        <item x="152"/>
        <item x="161"/>
        <item x="149"/>
        <item x="147"/>
        <item x="31"/>
        <item x="146"/>
        <item x="148"/>
        <item x="137"/>
        <item x="103"/>
        <item x="48"/>
        <item x="139"/>
        <item x="144"/>
        <item x="132"/>
        <item x="127"/>
        <item x="130"/>
        <item x="135"/>
        <item x="98"/>
        <item x="136"/>
        <item x="125"/>
        <item x="123"/>
        <item x="126"/>
        <item x="124"/>
        <item x="112"/>
        <item x="121"/>
        <item x="118"/>
        <item x="119"/>
        <item x="110"/>
        <item x="117"/>
        <item x="114"/>
        <item x="115"/>
        <item x="116"/>
        <item x="113"/>
        <item x="111"/>
        <item x="67"/>
        <item x="106"/>
        <item x="107"/>
        <item x="104"/>
        <item x="49"/>
        <item x="94"/>
        <item x="77"/>
        <item x="99"/>
        <item x="100"/>
        <item x="89"/>
        <item x="96"/>
        <item x="92"/>
        <item x="93"/>
        <item x="95"/>
        <item x="85"/>
        <item x="80"/>
        <item x="82"/>
        <item x="75"/>
        <item x="81"/>
        <item x="78"/>
        <item x="87"/>
        <item x="105"/>
        <item x="84"/>
        <item x="74"/>
        <item x="79"/>
        <item x="109"/>
        <item x="69"/>
        <item x="70"/>
        <item x="65"/>
        <item x="10"/>
        <item x="54"/>
        <item x="63"/>
        <item x="64"/>
        <item x="61"/>
        <item x="41"/>
        <item x="39"/>
        <item x="60"/>
        <item x="57"/>
        <item x="59"/>
        <item x="40"/>
        <item x="51"/>
        <item x="56"/>
        <item x="55"/>
        <item x="36"/>
        <item x="50"/>
        <item x="76"/>
        <item x="44"/>
        <item x="32"/>
        <item x="30"/>
        <item x="42"/>
        <item x="29"/>
        <item x="37"/>
        <item x="27"/>
        <item x="33"/>
        <item x="24"/>
        <item x="25"/>
        <item x="71"/>
        <item x="23"/>
        <item x="21"/>
        <item x="18"/>
        <item x="13"/>
        <item x="17"/>
        <item x="14"/>
        <item x="16"/>
        <item x="19"/>
        <item x="12"/>
        <item x="8"/>
        <item x="9"/>
        <item x="7"/>
        <item x="20"/>
        <item x="22"/>
        <item x="34"/>
        <item x="26"/>
        <item x="38"/>
        <item x="6"/>
        <item x="4"/>
        <item x="3"/>
        <item x="1"/>
        <item x="409"/>
        <item x="408"/>
        <item x="407"/>
        <item x="405"/>
        <item x="406"/>
        <item x="404"/>
        <item x="403"/>
        <item x="402"/>
        <item x="394"/>
        <item x="240"/>
        <item x="179"/>
        <item x="133"/>
        <item x="73"/>
        <item x="83"/>
        <item x="230"/>
        <item x="238"/>
        <item x="196"/>
        <item x="35"/>
        <item x="173"/>
        <item x="392"/>
        <item x="224"/>
        <item x="180"/>
        <item x="157"/>
        <item x="328"/>
        <item x="216"/>
        <item x="209"/>
        <item x="387"/>
        <item x="292"/>
        <item x="232"/>
        <item x="393"/>
        <item x="108"/>
        <item x="167"/>
        <item x="208"/>
        <item x="288"/>
        <item x="314"/>
        <item x="102"/>
        <item x="252"/>
        <item x="280"/>
        <item x="186"/>
        <item x="199"/>
        <item x="253"/>
        <item x="154"/>
        <item x="169"/>
        <item x="218"/>
        <item x="309"/>
        <item x="398"/>
        <item x="159"/>
        <item x="228"/>
        <item x="248"/>
        <item x="198"/>
        <item x="379"/>
        <item x="219"/>
        <item x="378"/>
        <item x="15"/>
        <item x="122"/>
        <item x="166"/>
        <item x="46"/>
        <item x="52"/>
        <item x="401"/>
        <item x="400"/>
        <item x="397"/>
        <item x="399"/>
        <item x="395"/>
        <item x="396"/>
        <item x="174"/>
        <item x="220"/>
        <item x="256"/>
        <item x="391"/>
        <item x="390"/>
        <item x="389"/>
        <item x="388"/>
        <item x="375"/>
        <item x="386"/>
        <item x="385"/>
        <item x="305"/>
        <item x="382"/>
        <item x="384"/>
        <item x="383"/>
        <item x="195"/>
        <item x="380"/>
        <item x="381"/>
        <item x="377"/>
        <item x="91"/>
        <item x="291"/>
        <item x="285"/>
        <item x="294"/>
        <item x="226"/>
        <item x="376"/>
        <item x="86"/>
        <item x="374"/>
        <item x="58"/>
        <item x="62"/>
        <item x="262"/>
      </items>
    </pivotField>
    <pivotField showAll="0" defaultSubtotal="0"/>
    <pivotField showAll="0" defaultSubtotal="0">
      <items count="4">
        <item h="1" x="3"/>
        <item h="1" x="2"/>
        <item x="0"/>
        <item h="1" x="1"/>
      </items>
    </pivotField>
    <pivotField showAll="0" defaultSubtotal="0"/>
    <pivotField showAll="0" defaultSubtotal="0"/>
  </pivotFields>
  <rowFields count="1">
    <field x="5"/>
  </rowFields>
  <rowItems count="9">
    <i>
      <x/>
    </i>
    <i>
      <x v="76"/>
    </i>
    <i>
      <x v="87"/>
    </i>
    <i>
      <x v="190"/>
    </i>
    <i>
      <x v="304"/>
    </i>
    <i>
      <x v="306"/>
    </i>
    <i>
      <x v="307"/>
    </i>
    <i>
      <x v="369"/>
    </i>
    <i t="grand">
      <x/>
    </i>
  </rowItems>
  <colFields count="2">
    <field x="4"/>
    <field x="3"/>
  </colFields>
  <colItems count="1">
    <i>
      <x/>
      <x v="6"/>
    </i>
  </colItems>
  <dataFields count="1">
    <dataField name="Count of STATUS" fld="0" subtotal="count" baseField="0" baseItem="0"/>
  </dataFields>
  <formats count="27">
    <format dxfId="335">
      <pivotArea type="all" dataOnly="0" outline="0" fieldPosition="0"/>
    </format>
    <format dxfId="334">
      <pivotArea outline="0" collapsedLevelsAreSubtotals="1" fieldPosition="0"/>
    </format>
    <format dxfId="333">
      <pivotArea type="origin" dataOnly="0" labelOnly="1" outline="0" fieldPosition="0"/>
    </format>
    <format dxfId="332">
      <pivotArea field="4" type="button" dataOnly="0" labelOnly="1" outline="0" axis="axisCol" fieldPosition="0"/>
    </format>
    <format dxfId="331">
      <pivotArea field="5" type="button" dataOnly="0" labelOnly="1" outline="0" axis="axisRow" fieldPosition="0"/>
    </format>
    <format dxfId="330">
      <pivotArea dataOnly="0" labelOnly="1" fieldPosition="0">
        <references count="1">
          <reference field="5" count="8">
            <x v="0"/>
            <x v="76"/>
            <x v="87"/>
            <x v="190"/>
            <x v="304"/>
            <x v="306"/>
            <x v="307"/>
            <x v="369"/>
          </reference>
        </references>
      </pivotArea>
    </format>
    <format dxfId="329">
      <pivotArea dataOnly="0" labelOnly="1" grandRow="1" outline="0" fieldPosition="0"/>
    </format>
    <format dxfId="328">
      <pivotArea dataOnly="0" labelOnly="1" fieldPosition="0">
        <references count="1">
          <reference field="4" count="0"/>
        </references>
      </pivotArea>
    </format>
    <format dxfId="327">
      <pivotArea dataOnly="0" labelOnly="1" fieldPosition="0">
        <references count="2">
          <reference field="3" count="0"/>
          <reference field="4" count="0" selected="0"/>
        </references>
      </pivotArea>
    </format>
    <format dxfId="326">
      <pivotArea type="all" dataOnly="0" outline="0" fieldPosition="0"/>
    </format>
    <format dxfId="325">
      <pivotArea outline="0" collapsedLevelsAreSubtotals="1" fieldPosition="0"/>
    </format>
    <format dxfId="324">
      <pivotArea type="origin" dataOnly="0" labelOnly="1" outline="0" fieldPosition="0"/>
    </format>
    <format dxfId="323">
      <pivotArea field="4" type="button" dataOnly="0" labelOnly="1" outline="0" axis="axisCol" fieldPosition="0"/>
    </format>
    <format dxfId="322">
      <pivotArea field="5" type="button" dataOnly="0" labelOnly="1" outline="0" axis="axisRow" fieldPosition="0"/>
    </format>
    <format dxfId="321">
      <pivotArea dataOnly="0" labelOnly="1" fieldPosition="0">
        <references count="1">
          <reference field="5" count="8">
            <x v="0"/>
            <x v="76"/>
            <x v="87"/>
            <x v="190"/>
            <x v="304"/>
            <x v="306"/>
            <x v="307"/>
            <x v="369"/>
          </reference>
        </references>
      </pivotArea>
    </format>
    <format dxfId="320">
      <pivotArea dataOnly="0" labelOnly="1" grandRow="1" outline="0" fieldPosition="0"/>
    </format>
    <format dxfId="319">
      <pivotArea dataOnly="0" labelOnly="1" fieldPosition="0">
        <references count="1">
          <reference field="4" count="0"/>
        </references>
      </pivotArea>
    </format>
    <format dxfId="318">
      <pivotArea dataOnly="0" labelOnly="1" fieldPosition="0">
        <references count="2">
          <reference field="3" count="0"/>
          <reference field="4" count="0" selected="0"/>
        </references>
      </pivotArea>
    </format>
    <format dxfId="317">
      <pivotArea type="all" dataOnly="0" outline="0" fieldPosition="0"/>
    </format>
    <format dxfId="316">
      <pivotArea outline="0" collapsedLevelsAreSubtotals="1" fieldPosition="0"/>
    </format>
    <format dxfId="315">
      <pivotArea type="origin" dataOnly="0" labelOnly="1" outline="0" fieldPosition="0"/>
    </format>
    <format dxfId="314">
      <pivotArea field="4" type="button" dataOnly="0" labelOnly="1" outline="0" axis="axisCol" fieldPosition="0"/>
    </format>
    <format dxfId="313">
      <pivotArea field="5" type="button" dataOnly="0" labelOnly="1" outline="0" axis="axisRow" fieldPosition="0"/>
    </format>
    <format dxfId="312">
      <pivotArea dataOnly="0" labelOnly="1" fieldPosition="0">
        <references count="1">
          <reference field="5" count="8">
            <x v="0"/>
            <x v="76"/>
            <x v="87"/>
            <x v="190"/>
            <x v="304"/>
            <x v="306"/>
            <x v="307"/>
            <x v="369"/>
          </reference>
        </references>
      </pivotArea>
    </format>
    <format dxfId="311">
      <pivotArea dataOnly="0" labelOnly="1" grandRow="1" outline="0" fieldPosition="0"/>
    </format>
    <format dxfId="310">
      <pivotArea dataOnly="0" labelOnly="1" fieldPosition="0">
        <references count="1">
          <reference field="4" count="0"/>
        </references>
      </pivotArea>
    </format>
    <format dxfId="309">
      <pivotArea dataOnly="0" labelOnly="1" fieldPosition="0">
        <references count="2">
          <reference field="3" count="0"/>
          <reference field="4"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39CEB9-CBC9-495D-AFC3-E6F7A1106FAC}" name="PivotTable1" cacheId="0" applyNumberFormats="0" applyBorderFormats="0" applyFontFormats="0" applyPatternFormats="0" applyAlignmentFormats="0" applyWidthHeightFormats="1" dataCaption="Values" missingCaption="0" updatedVersion="8" minRefreshableVersion="3" showDrill="0" useAutoFormatting="1" itemPrintTitles="1" createdVersion="8" indent="0" compact="0" compactData="0" multipleFieldFilters="0" rowHeaderCaption="Timepieces Requested">
  <location ref="L8:Q22" firstHeaderRow="1" firstDataRow="2" firstDataCol="2"/>
  <pivotFields count="38">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
        <item x="2"/>
        <item x="0"/>
        <item x="1"/>
        <item x="3"/>
        <item x="4"/>
      </items>
    </pivotField>
    <pivotField compact="0" outline="0" showAll="0" defaultSubtotal="0"/>
    <pivotField axis="axisCol" compact="0" outline="0" showAll="0" defaultSubtotal="0">
      <items count="7">
        <item h="1" x="1"/>
        <item x="2"/>
        <item x="4"/>
        <item x="6"/>
        <item h="1" x="5"/>
        <item h="1" x="0"/>
        <item h="1" x="3"/>
      </items>
    </pivotField>
    <pivotField compact="0" outline="0" showAll="0" defaultSubtotal="0"/>
    <pivotField compact="0" outline="0" showAll="0" defaultSubtotal="0"/>
    <pivotField compact="0" outline="0" showAll="0" defaultSubtotal="0"/>
    <pivotField axis="axisRow" compact="0" outline="0" showAll="0" sortType="descending" defaultSubtotal="0">
      <items count="22">
        <item h="1" x="16"/>
        <item m="1" x="21"/>
        <item x="14"/>
        <item x="3"/>
        <item x="2"/>
        <item x="9"/>
        <item x="1"/>
        <item x="12"/>
        <item x="0"/>
        <item x="10"/>
        <item x="8"/>
        <item m="1" x="19"/>
        <item x="5"/>
        <item x="4"/>
        <item x="13"/>
        <item m="1" x="20"/>
        <item h="1" x="17"/>
        <item x="7"/>
        <item x="11"/>
        <item h="1" x="15"/>
        <item h="1" x="6"/>
        <item h="1" x="18"/>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s>
  <rowFields count="2">
    <field x="7"/>
    <field x="13"/>
  </rowFields>
  <rowItems count="13">
    <i>
      <x v="1"/>
      <x v="12"/>
    </i>
    <i r="1">
      <x v="10"/>
    </i>
    <i r="1">
      <x v="13"/>
    </i>
    <i r="1">
      <x v="17"/>
    </i>
    <i r="1">
      <x v="14"/>
    </i>
    <i r="1">
      <x v="2"/>
    </i>
    <i r="1">
      <x v="8"/>
    </i>
    <i r="1">
      <x v="5"/>
    </i>
    <i>
      <x v="2"/>
      <x v="6"/>
    </i>
    <i r="1">
      <x v="18"/>
    </i>
    <i r="1">
      <x v="3"/>
    </i>
    <i r="1">
      <x v="4"/>
    </i>
    <i t="grand">
      <x/>
    </i>
  </rowItems>
  <colFields count="1">
    <field x="9"/>
  </colFields>
  <colItems count="4">
    <i>
      <x v="1"/>
    </i>
    <i>
      <x v="2"/>
    </i>
    <i>
      <x v="3"/>
    </i>
    <i t="grand">
      <x/>
    </i>
  </colItems>
  <dataFields count="1">
    <dataField name="Timepiece Updates" fld="16" subtotal="count" baseField="13" baseItem="13"/>
  </dataFields>
  <formats count="29">
    <format dxfId="87">
      <pivotArea dataOnly="0" labelOnly="1" fieldPosition="0">
        <references count="1">
          <reference field="13" count="0"/>
        </references>
      </pivotArea>
    </format>
    <format dxfId="86">
      <pivotArea dataOnly="0" labelOnly="1" fieldPosition="0">
        <references count="1">
          <reference field="13" count="0"/>
        </references>
      </pivotArea>
    </format>
    <format dxfId="85">
      <pivotArea type="all" dataOnly="0" outline="0" fieldPosition="0"/>
    </format>
    <format dxfId="84">
      <pivotArea outline="0" collapsedLevelsAreSubtotals="1" fieldPosition="0"/>
    </format>
    <format dxfId="83">
      <pivotArea field="13" type="button" dataOnly="0" labelOnly="1" outline="0" axis="axisRow" fieldPosition="1"/>
    </format>
    <format dxfId="82">
      <pivotArea dataOnly="0" labelOnly="1" fieldPosition="0">
        <references count="1">
          <reference field="13" count="0"/>
        </references>
      </pivotArea>
    </format>
    <format dxfId="81">
      <pivotArea dataOnly="0" labelOnly="1" grandRow="1" outline="0" fieldPosition="0"/>
    </format>
    <format dxfId="80">
      <pivotArea dataOnly="0" labelOnly="1" outline="0" axis="axisValues" fieldPosition="0"/>
    </format>
    <format dxfId="79">
      <pivotArea type="all" dataOnly="0" outline="0" fieldPosition="0"/>
    </format>
    <format dxfId="78">
      <pivotArea outline="0" collapsedLevelsAreSubtotals="1" fieldPosition="0"/>
    </format>
    <format dxfId="77">
      <pivotArea field="13" type="button" dataOnly="0" labelOnly="1" outline="0" axis="axisRow" fieldPosition="1"/>
    </format>
    <format dxfId="76">
      <pivotArea dataOnly="0" labelOnly="1" fieldPosition="0">
        <references count="1">
          <reference field="13" count="0"/>
        </references>
      </pivotArea>
    </format>
    <format dxfId="75">
      <pivotArea dataOnly="0" labelOnly="1" grandRow="1" outline="0" fieldPosition="0"/>
    </format>
    <format dxfId="74">
      <pivotArea dataOnly="0" labelOnly="1" outline="0" axis="axisValues" fieldPosition="0"/>
    </format>
    <format dxfId="73">
      <pivotArea type="all" dataOnly="0" outline="0" fieldPosition="0"/>
    </format>
    <format dxfId="72">
      <pivotArea outline="0" collapsedLevelsAreSubtotals="1" fieldPosition="0"/>
    </format>
    <format dxfId="71">
      <pivotArea field="13" type="button" dataOnly="0" labelOnly="1" outline="0" axis="axisRow" fieldPosition="1"/>
    </format>
    <format dxfId="70">
      <pivotArea dataOnly="0" labelOnly="1" fieldPosition="0">
        <references count="1">
          <reference field="13" count="0"/>
        </references>
      </pivotArea>
    </format>
    <format dxfId="69">
      <pivotArea dataOnly="0" labelOnly="1" grandRow="1" outline="0" fieldPosition="0"/>
    </format>
    <format dxfId="68">
      <pivotArea dataOnly="0" labelOnly="1" outline="0" axis="axisValues" fieldPosition="0"/>
    </format>
    <format dxfId="67">
      <pivotArea dataOnly="0" labelOnly="1" outline="0" axis="axisValues" fieldPosition="0"/>
    </format>
    <format dxfId="66">
      <pivotArea collapsedLevelsAreSubtotals="1" fieldPosition="0">
        <references count="1">
          <reference field="13" count="0"/>
        </references>
      </pivotArea>
    </format>
    <format dxfId="65">
      <pivotArea type="origin" dataOnly="0" labelOnly="1" outline="0" fieldPosition="0"/>
    </format>
    <format dxfId="64">
      <pivotArea field="13" type="button" dataOnly="0" labelOnly="1" outline="0" axis="axisRow" fieldPosition="1"/>
    </format>
    <format dxfId="63">
      <pivotArea dataOnly="0" labelOnly="1" outline="0" fieldPosition="0">
        <references count="2">
          <reference field="7" count="1" selected="0">
            <x v="1"/>
          </reference>
          <reference field="13" count="10">
            <x v="2"/>
            <x v="3"/>
            <x v="5"/>
            <x v="6"/>
            <x v="7"/>
            <x v="8"/>
            <x v="11"/>
            <x v="12"/>
            <x v="13"/>
            <x v="15"/>
          </reference>
        </references>
      </pivotArea>
    </format>
    <format dxfId="62">
      <pivotArea dataOnly="0" labelOnly="1" outline="0" fieldPosition="0">
        <references count="2">
          <reference field="7" count="1" selected="0">
            <x v="2"/>
          </reference>
          <reference field="13" count="7">
            <x v="3"/>
            <x v="4"/>
            <x v="9"/>
            <x v="10"/>
            <x v="14"/>
            <x v="17"/>
            <x v="18"/>
          </reference>
        </references>
      </pivotArea>
    </format>
    <format dxfId="61">
      <pivotArea dataOnly="0" labelOnly="1" outline="0" fieldPosition="0">
        <references count="2">
          <reference field="7" count="1" selected="0">
            <x v="1"/>
          </reference>
          <reference field="13" count="1">
            <x v="10"/>
          </reference>
        </references>
      </pivotArea>
    </format>
    <format dxfId="60">
      <pivotArea outline="0" fieldPosition="0">
        <references count="3">
          <reference field="7" count="2" selected="0">
            <x v="1"/>
            <x v="2"/>
          </reference>
          <reference field="9" count="0" selected="0"/>
          <reference field="13" count="0" selected="0"/>
        </references>
      </pivotArea>
    </format>
    <format dxfId="59">
      <pivotArea field="13" grandCol="1" outline="0" axis="axisRow" fieldPosition="1">
        <references count="2">
          <reference field="7" count="2" selected="0">
            <x v="1"/>
            <x v="2"/>
          </reference>
          <reference field="13" count="0" selected="0"/>
        </references>
      </pivotArea>
    </format>
  </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priority="2" id="{45BCB765-5EA7-4DC4-9AB7-10C35D8289C6}">
            <x14:pivotAreas count="1">
              <pivotArea type="data" grandCol="1" outline="0" collapsedLevelsAreSubtotals="1" fieldPosition="0">
                <references count="3">
                  <reference field="4294967294" count="1" selected="0">
                    <x v="0"/>
                  </reference>
                  <reference field="7" count="2" selected="0">
                    <x v="1"/>
                    <x v="2"/>
                  </reference>
                  <reference field="13" count="16" selected="0">
                    <x v="2"/>
                    <x v="3"/>
                    <x v="4"/>
                    <x v="5"/>
                    <x v="6"/>
                    <x v="7"/>
                    <x v="8"/>
                    <x v="9"/>
                    <x v="10"/>
                    <x v="11"/>
                    <x v="12"/>
                    <x v="13"/>
                    <x v="14"/>
                    <x v="15"/>
                    <x v="17"/>
                    <x v="18"/>
                  </reference>
                </references>
              </pivotArea>
            </x14:pivotAreas>
          </x14:conditionalFormat>
        </x14:conditionalFormats>
      </x14:pivotTableDefinition>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F6E356-B580-40B2-AE49-3B7A149D6BE9}" name="PivotTable4" cacheId="0" applyNumberFormats="0" applyBorderFormats="0" applyFontFormats="0" applyPatternFormats="0" applyAlignmentFormats="0" applyWidthHeightFormats="1" dataCaption="Values" missingCaption="0" updatedVersion="8" minRefreshableVersion="3" showDrill="0" useAutoFormatting="1" itemPrintTitles="1" createdVersion="8" indent="0" compact="0" compactData="0" multipleFieldFilters="0">
  <location ref="B11:G17" firstHeaderRow="1" firstDataRow="3" firstDataCol="2" rowPageCount="2" colPageCount="1"/>
  <pivotFields count="38">
    <pivotField dataField="1" compact="0" outline="0" showAll="0" defaultSubtotal="0"/>
    <pivotField compact="0" outline="0" showAll="0" defaultSubtotal="0"/>
    <pivotField compact="0" outline="0" showAll="0" defaultSubtotal="0"/>
    <pivotField axis="axisRow" compact="0" outline="0" showAll="0" defaultSubtotal="0">
      <items count="6">
        <item x="0"/>
        <item x="1"/>
        <item x="4"/>
        <item x="3"/>
        <item x="2"/>
        <item x="5"/>
      </items>
    </pivotField>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5">
        <item x="2"/>
        <item x="0"/>
        <item x="1"/>
        <item m="1" x="4"/>
        <item x="3"/>
      </items>
    </pivotField>
    <pivotField axis="axisPage" compact="0" outline="0" showAll="0" defaultSubtotal="0">
      <items count="7">
        <item x="1"/>
        <item x="2"/>
        <item x="4"/>
        <item x="6"/>
        <item x="5"/>
        <item x="0"/>
        <item x="3"/>
      </items>
    </pivotField>
    <pivotField axis="axisPage" compact="0" outline="0" showAll="0" defaultSubtotal="0">
      <items count="4">
        <item x="0"/>
        <item x="2"/>
        <item x="1"/>
        <item x="3"/>
      </items>
    </pivotField>
    <pivotField compact="0" outline="0" showAll="0" defaultSubtotal="0"/>
    <pivotField axis="axisRow" compact="0" outline="0" showAll="0" defaultSubtotal="0">
      <items count="26">
        <item x="5"/>
        <item x="10"/>
        <item m="1" x="22"/>
        <item x="2"/>
        <item m="1" x="21"/>
        <item x="8"/>
        <item m="1" x="24"/>
        <item x="4"/>
        <item x="13"/>
        <item x="3"/>
        <item m="1" x="25"/>
        <item x="1"/>
        <item x="9"/>
        <item x="0"/>
        <item x="14"/>
        <item x="12"/>
        <item x="11"/>
        <item x="18"/>
        <item x="15"/>
        <item m="1" x="23"/>
        <item x="16"/>
        <item m="1" x="20"/>
        <item x="17"/>
        <item x="6"/>
        <item x="7"/>
        <item x="19"/>
      </items>
    </pivotField>
    <pivotField compact="0" outline="0" showAll="0" defaultSubtotal="0"/>
    <pivotField compact="0" outline="0" showAll="0" defaultSubtotal="0"/>
    <pivotField dataField="1" compact="0" outline="0" showAll="0" defaultSubtotal="0"/>
    <pivotField compact="0" outline="0" showAll="0" defaultSubtotal="0"/>
    <pivotField compact="0" outline="0" subtotalTop="0" showAll="0" defaultSubtotal="0"/>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s>
  <rowFields count="2">
    <field x="3"/>
    <field x="12"/>
  </rowFields>
  <rowItems count="4">
    <i>
      <x v="2"/>
      <x/>
    </i>
    <i>
      <x v="3"/>
      <x v="24"/>
    </i>
    <i>
      <x v="4"/>
      <x/>
    </i>
    <i t="grand">
      <x/>
    </i>
  </rowItems>
  <colFields count="2">
    <field x="8"/>
    <field x="-2"/>
  </colFields>
  <colItems count="4">
    <i>
      <x v="1"/>
      <x/>
    </i>
    <i r="1" i="1">
      <x v="1"/>
    </i>
    <i t="grand">
      <x/>
    </i>
    <i t="grand" i="1">
      <x/>
    </i>
  </colItems>
  <pageFields count="2">
    <pageField fld="9" item="1" hier="-1"/>
    <pageField fld="10" item="0" hier="-1"/>
  </pageFields>
  <dataFields count="2">
    <dataField name="Count of Timepieces" fld="0" subtotal="count" baseField="12" baseItem="14"/>
    <dataField name="Amount" fld="15" baseField="12" baseItem="13"/>
  </dataFields>
  <formats count="116">
    <format dxfId="203">
      <pivotArea collapsedLevelsAreSubtotals="1" fieldPosition="0">
        <references count="2">
          <reference field="4294967294" count="1" selected="0">
            <x v="1"/>
          </reference>
          <reference field="3" count="1">
            <x v="0"/>
          </reference>
        </references>
      </pivotArea>
    </format>
    <format dxfId="202">
      <pivotArea collapsedLevelsAreSubtotals="1" fieldPosition="0">
        <references count="3">
          <reference field="4294967294" count="1" selected="0">
            <x v="1"/>
          </reference>
          <reference field="3" count="1" selected="0">
            <x v="0"/>
          </reference>
          <reference field="12" count="5">
            <x v="1"/>
            <x v="3"/>
            <x v="9"/>
            <x v="11"/>
            <x v="13"/>
          </reference>
        </references>
      </pivotArea>
    </format>
    <format dxfId="201">
      <pivotArea collapsedLevelsAreSubtotals="1" fieldPosition="0">
        <references count="2">
          <reference field="4294967294" count="1" selected="0">
            <x v="1"/>
          </reference>
          <reference field="3" count="1">
            <x v="1"/>
          </reference>
        </references>
      </pivotArea>
    </format>
    <format dxfId="200">
      <pivotArea collapsedLevelsAreSubtotals="1" fieldPosition="0">
        <references count="3">
          <reference field="4294967294" count="1" selected="0">
            <x v="1"/>
          </reference>
          <reference field="3" count="1" selected="0">
            <x v="1"/>
          </reference>
          <reference field="12" count="1">
            <x v="7"/>
          </reference>
        </references>
      </pivotArea>
    </format>
    <format dxfId="199">
      <pivotArea collapsedLevelsAreSubtotals="1" fieldPosition="0">
        <references count="2">
          <reference field="4294967294" count="1" selected="0">
            <x v="1"/>
          </reference>
          <reference field="3" count="1">
            <x v="2"/>
          </reference>
        </references>
      </pivotArea>
    </format>
    <format dxfId="198">
      <pivotArea collapsedLevelsAreSubtotals="1" fieldPosition="0">
        <references count="3">
          <reference field="4294967294" count="1" selected="0">
            <x v="1"/>
          </reference>
          <reference field="3" count="1" selected="0">
            <x v="2"/>
          </reference>
          <reference field="12" count="10">
            <x v="0"/>
            <x v="1"/>
            <x v="5"/>
            <x v="8"/>
            <x v="9"/>
            <x v="12"/>
            <x v="13"/>
            <x v="14"/>
            <x v="15"/>
            <x v="16"/>
          </reference>
        </references>
      </pivotArea>
    </format>
    <format dxfId="197">
      <pivotArea collapsedLevelsAreSubtotals="1" fieldPosition="0">
        <references count="2">
          <reference field="4294967294" count="1" selected="0">
            <x v="1"/>
          </reference>
          <reference field="3" count="1">
            <x v="3"/>
          </reference>
        </references>
      </pivotArea>
    </format>
    <format dxfId="196">
      <pivotArea collapsedLevelsAreSubtotals="1" fieldPosition="0">
        <references count="3">
          <reference field="4294967294" count="1" selected="0">
            <x v="1"/>
          </reference>
          <reference field="3" count="1" selected="0">
            <x v="3"/>
          </reference>
          <reference field="12" count="2">
            <x v="4"/>
            <x v="14"/>
          </reference>
        </references>
      </pivotArea>
    </format>
    <format dxfId="195">
      <pivotArea collapsedLevelsAreSubtotals="1" fieldPosition="0">
        <references count="2">
          <reference field="4294967294" count="1" selected="0">
            <x v="1"/>
          </reference>
          <reference field="3" count="1">
            <x v="4"/>
          </reference>
        </references>
      </pivotArea>
    </format>
    <format dxfId="194">
      <pivotArea collapsedLevelsAreSubtotals="1" fieldPosition="0">
        <references count="3">
          <reference field="4294967294" count="1" selected="0">
            <x v="1"/>
          </reference>
          <reference field="3" count="1" selected="0">
            <x v="4"/>
          </reference>
          <reference field="12" count="4">
            <x v="0"/>
            <x v="2"/>
            <x v="6"/>
            <x v="12"/>
          </reference>
        </references>
      </pivotArea>
    </format>
    <format dxfId="193">
      <pivotArea collapsedLevelsAreSubtotals="1" fieldPosition="0">
        <references count="2">
          <reference field="4294967294" count="1" selected="0">
            <x v="1"/>
          </reference>
          <reference field="3" count="1">
            <x v="5"/>
          </reference>
        </references>
      </pivotArea>
    </format>
    <format dxfId="192">
      <pivotArea collapsedLevelsAreSubtotals="1" fieldPosition="0">
        <references count="3">
          <reference field="4294967294" count="1" selected="0">
            <x v="1"/>
          </reference>
          <reference field="3" count="1" selected="0">
            <x v="5"/>
          </reference>
          <reference field="12" count="1">
            <x v="17"/>
          </reference>
        </references>
      </pivotArea>
    </format>
    <format dxfId="191">
      <pivotArea type="all" dataOnly="0" outline="0" fieldPosition="0"/>
    </format>
    <format dxfId="190">
      <pivotArea outline="0" collapsedLevelsAreSubtotals="1" fieldPosition="0"/>
    </format>
    <format dxfId="189">
      <pivotArea field="3" type="button" dataOnly="0" labelOnly="1" outline="0" axis="axisRow" fieldPosition="0"/>
    </format>
    <format dxfId="188">
      <pivotArea dataOnly="0" labelOnly="1" fieldPosition="0">
        <references count="1">
          <reference field="3" count="0"/>
        </references>
      </pivotArea>
    </format>
    <format dxfId="187">
      <pivotArea dataOnly="0" labelOnly="1" grandRow="1" outline="0" fieldPosition="0"/>
    </format>
    <format dxfId="186">
      <pivotArea dataOnly="0" labelOnly="1" fieldPosition="0">
        <references count="2">
          <reference field="3" count="1" selected="0">
            <x v="0"/>
          </reference>
          <reference field="12" count="5">
            <x v="1"/>
            <x v="3"/>
            <x v="9"/>
            <x v="11"/>
            <x v="13"/>
          </reference>
        </references>
      </pivotArea>
    </format>
    <format dxfId="185">
      <pivotArea dataOnly="0" labelOnly="1" fieldPosition="0">
        <references count="2">
          <reference field="3" count="1" selected="0">
            <x v="1"/>
          </reference>
          <reference field="12" count="1">
            <x v="7"/>
          </reference>
        </references>
      </pivotArea>
    </format>
    <format dxfId="184">
      <pivotArea dataOnly="0" labelOnly="1" fieldPosition="0">
        <references count="2">
          <reference field="3" count="1" selected="0">
            <x v="2"/>
          </reference>
          <reference field="12" count="10">
            <x v="0"/>
            <x v="1"/>
            <x v="5"/>
            <x v="8"/>
            <x v="9"/>
            <x v="12"/>
            <x v="13"/>
            <x v="14"/>
            <x v="15"/>
            <x v="16"/>
          </reference>
        </references>
      </pivotArea>
    </format>
    <format dxfId="183">
      <pivotArea dataOnly="0" labelOnly="1" fieldPosition="0">
        <references count="2">
          <reference field="3" count="1" selected="0">
            <x v="3"/>
          </reference>
          <reference field="12" count="2">
            <x v="4"/>
            <x v="14"/>
          </reference>
        </references>
      </pivotArea>
    </format>
    <format dxfId="182">
      <pivotArea dataOnly="0" labelOnly="1" fieldPosition="0">
        <references count="2">
          <reference field="3" count="1" selected="0">
            <x v="4"/>
          </reference>
          <reference field="12" count="4">
            <x v="0"/>
            <x v="2"/>
            <x v="6"/>
            <x v="12"/>
          </reference>
        </references>
      </pivotArea>
    </format>
    <format dxfId="181">
      <pivotArea dataOnly="0" labelOnly="1" fieldPosition="0">
        <references count="2">
          <reference field="3" count="1" selected="0">
            <x v="5"/>
          </reference>
          <reference field="12" count="1">
            <x v="17"/>
          </reference>
        </references>
      </pivotArea>
    </format>
    <format dxfId="180">
      <pivotArea dataOnly="0" labelOnly="1" outline="0" fieldPosition="0">
        <references count="1">
          <reference field="4294967294" count="1">
            <x v="1"/>
          </reference>
        </references>
      </pivotArea>
    </format>
    <format dxfId="179">
      <pivotArea type="all" dataOnly="0" outline="0" fieldPosition="0"/>
    </format>
    <format dxfId="178">
      <pivotArea outline="0" collapsedLevelsAreSubtotals="1" fieldPosition="0"/>
    </format>
    <format dxfId="177">
      <pivotArea field="3" type="button" dataOnly="0" labelOnly="1" outline="0" axis="axisRow" fieldPosition="0"/>
    </format>
    <format dxfId="176">
      <pivotArea dataOnly="0" labelOnly="1" fieldPosition="0">
        <references count="1">
          <reference field="3" count="0"/>
        </references>
      </pivotArea>
    </format>
    <format dxfId="175">
      <pivotArea dataOnly="0" labelOnly="1" grandRow="1" outline="0" fieldPosition="0"/>
    </format>
    <format dxfId="174">
      <pivotArea dataOnly="0" labelOnly="1" fieldPosition="0">
        <references count="2">
          <reference field="3" count="1" selected="0">
            <x v="0"/>
          </reference>
          <reference field="12" count="5">
            <x v="1"/>
            <x v="3"/>
            <x v="9"/>
            <x v="11"/>
            <x v="13"/>
          </reference>
        </references>
      </pivotArea>
    </format>
    <format dxfId="173">
      <pivotArea dataOnly="0" labelOnly="1" fieldPosition="0">
        <references count="2">
          <reference field="3" count="1" selected="0">
            <x v="1"/>
          </reference>
          <reference field="12" count="1">
            <x v="7"/>
          </reference>
        </references>
      </pivotArea>
    </format>
    <format dxfId="172">
      <pivotArea dataOnly="0" labelOnly="1" fieldPosition="0">
        <references count="2">
          <reference field="3" count="1" selected="0">
            <x v="2"/>
          </reference>
          <reference field="12" count="10">
            <x v="0"/>
            <x v="1"/>
            <x v="5"/>
            <x v="8"/>
            <x v="9"/>
            <x v="12"/>
            <x v="13"/>
            <x v="14"/>
            <x v="15"/>
            <x v="16"/>
          </reference>
        </references>
      </pivotArea>
    </format>
    <format dxfId="171">
      <pivotArea dataOnly="0" labelOnly="1" fieldPosition="0">
        <references count="2">
          <reference field="3" count="1" selected="0">
            <x v="3"/>
          </reference>
          <reference field="12" count="2">
            <x v="4"/>
            <x v="14"/>
          </reference>
        </references>
      </pivotArea>
    </format>
    <format dxfId="170">
      <pivotArea dataOnly="0" labelOnly="1" fieldPosition="0">
        <references count="2">
          <reference field="3" count="1" selected="0">
            <x v="4"/>
          </reference>
          <reference field="12" count="4">
            <x v="0"/>
            <x v="2"/>
            <x v="6"/>
            <x v="12"/>
          </reference>
        </references>
      </pivotArea>
    </format>
    <format dxfId="169">
      <pivotArea dataOnly="0" labelOnly="1" fieldPosition="0">
        <references count="2">
          <reference field="3" count="1" selected="0">
            <x v="5"/>
          </reference>
          <reference field="12" count="1">
            <x v="17"/>
          </reference>
        </references>
      </pivotArea>
    </format>
    <format dxfId="168">
      <pivotArea dataOnly="0" labelOnly="1" outline="0" fieldPosition="0">
        <references count="1">
          <reference field="4294967294" count="1">
            <x v="1"/>
          </reference>
        </references>
      </pivotArea>
    </format>
    <format dxfId="167">
      <pivotArea outline="0" collapsedLevelsAreSubtotals="1" fieldPosition="0"/>
    </format>
    <format dxfId="166">
      <pivotArea dataOnly="0" labelOnly="1" grandRow="1" outline="0" offset="IV256" fieldPosition="0"/>
    </format>
    <format dxfId="165">
      <pivotArea dataOnly="0" labelOnly="1" outline="0" fieldPosition="0">
        <references count="2">
          <reference field="3" count="1" selected="0">
            <x v="0"/>
          </reference>
          <reference field="12" count="1">
            <x v="13"/>
          </reference>
        </references>
      </pivotArea>
    </format>
    <format dxfId="164">
      <pivotArea dataOnly="0" labelOnly="1" outline="0" fieldPosition="0">
        <references count="2">
          <reference field="3" count="1" selected="0">
            <x v="1"/>
          </reference>
          <reference field="12" count="1">
            <x v="7"/>
          </reference>
        </references>
      </pivotArea>
    </format>
    <format dxfId="163">
      <pivotArea dataOnly="0" labelOnly="1" outline="0" fieldPosition="0">
        <references count="2">
          <reference field="3" count="1" selected="0">
            <x v="2"/>
          </reference>
          <reference field="12" count="1">
            <x v="8"/>
          </reference>
        </references>
      </pivotArea>
    </format>
    <format dxfId="162">
      <pivotArea dataOnly="0" labelOnly="1" outline="0" fieldPosition="0">
        <references count="2">
          <reference field="3" count="1" selected="0">
            <x v="3"/>
          </reference>
          <reference field="12" count="1">
            <x v="14"/>
          </reference>
        </references>
      </pivotArea>
    </format>
    <format dxfId="161">
      <pivotArea dataOnly="0" labelOnly="1" outline="0" fieldPosition="0">
        <references count="2">
          <reference field="3" count="1" selected="0">
            <x v="4"/>
          </reference>
          <reference field="12" count="1">
            <x v="2"/>
          </reference>
        </references>
      </pivotArea>
    </format>
    <format dxfId="160">
      <pivotArea grandRow="1" grandCol="1" outline="0" fieldPosition="0">
        <references count="1">
          <reference field="4294967294" count="1" selected="0">
            <x v="1"/>
          </reference>
        </references>
      </pivotArea>
    </format>
    <format dxfId="159">
      <pivotArea field="8" grandRow="1" outline="0" axis="axisCol" fieldPosition="0">
        <references count="2">
          <reference field="4294967294" count="1" selected="0">
            <x v="1"/>
          </reference>
          <reference field="8" count="1" selected="0">
            <x v="1"/>
          </reference>
        </references>
      </pivotArea>
    </format>
    <format dxfId="158">
      <pivotArea field="8" grandRow="1" outline="0" axis="axisCol" fieldPosition="0">
        <references count="2">
          <reference field="4294967294" count="1" selected="0">
            <x v="0"/>
          </reference>
          <reference field="8" count="1" selected="0">
            <x v="1"/>
          </reference>
        </references>
      </pivotArea>
    </format>
    <format dxfId="157">
      <pivotArea grandRow="1" grandCol="1" outline="0" fieldPosition="0">
        <references count="1">
          <reference field="4294967294" count="1" selected="0">
            <x v="0"/>
          </reference>
        </references>
      </pivotArea>
    </format>
    <format dxfId="156">
      <pivotArea dataOnly="0" labelOnly="1" outline="0" fieldPosition="0">
        <references count="1">
          <reference field="3" count="5">
            <x v="0"/>
            <x v="1"/>
            <x v="2"/>
            <x v="3"/>
            <x v="4"/>
          </reference>
        </references>
      </pivotArea>
    </format>
    <format dxfId="155">
      <pivotArea type="origin" dataOnly="0" labelOnly="1" outline="0" fieldPosition="0"/>
    </format>
    <format dxfId="154">
      <pivotArea type="topRight" dataOnly="0" labelOnly="1" outline="0" fieldPosition="0"/>
    </format>
    <format dxfId="153">
      <pivotArea field="3" type="button" dataOnly="0" labelOnly="1" outline="0" axis="axisRow" fieldPosition="0"/>
    </format>
    <format dxfId="152">
      <pivotArea field="12" type="button" dataOnly="0" labelOnly="1" outline="0" axis="axisRow" fieldPosition="1"/>
    </format>
    <format dxfId="151">
      <pivotArea dataOnly="0" labelOnly="1" outline="0" fieldPosition="0">
        <references count="1">
          <reference field="8" count="1">
            <x v="1"/>
          </reference>
        </references>
      </pivotArea>
    </format>
    <format dxfId="150">
      <pivotArea field="8" dataOnly="0" labelOnly="1" grandCol="1" outline="0" axis="axisCol" fieldPosition="0">
        <references count="1">
          <reference field="4294967294" count="1" selected="0">
            <x v="0"/>
          </reference>
        </references>
      </pivotArea>
    </format>
    <format dxfId="149">
      <pivotArea field="8" dataOnly="0" labelOnly="1" grandCol="1" outline="0" axis="axisCol" fieldPosition="0">
        <references count="1">
          <reference field="4294967294" count="1" selected="0">
            <x v="1"/>
          </reference>
        </references>
      </pivotArea>
    </format>
    <format dxfId="148">
      <pivotArea dataOnly="0" labelOnly="1" outline="0" fieldPosition="0">
        <references count="2">
          <reference field="4294967294" count="2">
            <x v="0"/>
            <x v="1"/>
          </reference>
          <reference field="8" count="1" selected="0">
            <x v="1"/>
          </reference>
        </references>
      </pivotArea>
    </format>
    <format dxfId="147">
      <pivotArea dataOnly="0" labelOnly="1" outline="0" fieldPosition="0">
        <references count="1">
          <reference field="3" count="5">
            <x v="0"/>
            <x v="1"/>
            <x v="2"/>
            <x v="3"/>
            <x v="4"/>
          </reference>
        </references>
      </pivotArea>
    </format>
    <format dxfId="146">
      <pivotArea field="8" type="button" dataOnly="0" labelOnly="1" outline="0" axis="axisCol" fieldPosition="0"/>
    </format>
    <format dxfId="145">
      <pivotArea field="-2" type="button" dataOnly="0" labelOnly="1" outline="0" axis="axisCol" fieldPosition="1"/>
    </format>
    <format dxfId="144">
      <pivotArea field="8" type="button" dataOnly="0" labelOnly="1" outline="0" axis="axisCol" fieldPosition="0"/>
    </format>
    <format dxfId="143">
      <pivotArea field="-2" type="button" dataOnly="0" labelOnly="1" outline="0" axis="axisCol" fieldPosition="1"/>
    </format>
    <format dxfId="142">
      <pivotArea dataOnly="0" labelOnly="1" grandRow="1" outline="0" offset="A256" fieldPosition="0"/>
    </format>
    <format dxfId="141">
      <pivotArea field="12" grandCol="1" outline="0" axis="axisRow" fieldPosition="1">
        <references count="3">
          <reference field="4294967294" count="2" selected="0">
            <x v="0"/>
            <x v="1"/>
          </reference>
          <reference field="3" count="1" selected="0">
            <x v="2"/>
          </reference>
          <reference field="12" count="1" selected="0">
            <x v="18"/>
          </reference>
        </references>
      </pivotArea>
    </format>
    <format dxfId="140">
      <pivotArea outline="0" fieldPosition="0">
        <references count="4">
          <reference field="4294967294" count="1" selected="0">
            <x v="1"/>
          </reference>
          <reference field="3" count="1" selected="0">
            <x v="2"/>
          </reference>
          <reference field="8" count="1" selected="0">
            <x v="1"/>
          </reference>
          <reference field="12" count="1" selected="0">
            <x v="18"/>
          </reference>
        </references>
      </pivotArea>
    </format>
    <format dxfId="139">
      <pivotArea field="12" grandCol="1" outline="0" axis="axisRow" fieldPosition="1">
        <references count="3">
          <reference field="4294967294" count="1" selected="0">
            <x v="1"/>
          </reference>
          <reference field="3" count="1" selected="0">
            <x v="2"/>
          </reference>
          <reference field="12" count="1" selected="0">
            <x v="18"/>
          </reference>
        </references>
      </pivotArea>
    </format>
    <format dxfId="138">
      <pivotArea field="12" grandCol="1" outline="0" axis="axisRow" fieldPosition="1">
        <references count="3">
          <reference field="4294967294" count="1" selected="0">
            <x v="0"/>
          </reference>
          <reference field="3" count="1" selected="0">
            <x v="2"/>
          </reference>
          <reference field="12" count="1" selected="0">
            <x v="18"/>
          </reference>
        </references>
      </pivotArea>
    </format>
    <format dxfId="137">
      <pivotArea dataOnly="0" labelOnly="1" outline="0" fieldPosition="0">
        <references count="1">
          <reference field="8" count="1">
            <x v="1"/>
          </reference>
        </references>
      </pivotArea>
    </format>
    <format dxfId="136">
      <pivotArea field="8" dataOnly="0" labelOnly="1" grandCol="1" outline="0" axis="axisCol" fieldPosition="0">
        <references count="1">
          <reference field="4294967294" count="1" selected="0">
            <x v="0"/>
          </reference>
        </references>
      </pivotArea>
    </format>
    <format dxfId="135">
      <pivotArea field="8" dataOnly="0" labelOnly="1" grandCol="1" outline="0" axis="axisCol" fieldPosition="0">
        <references count="1">
          <reference field="4294967294" count="1" selected="0">
            <x v="1"/>
          </reference>
        </references>
      </pivotArea>
    </format>
    <format dxfId="134">
      <pivotArea dataOnly="0" labelOnly="1" outline="0" fieldPosition="0">
        <references count="2">
          <reference field="4294967294" count="2">
            <x v="0"/>
            <x v="1"/>
          </reference>
          <reference field="8" count="1" selected="0">
            <x v="1"/>
          </reference>
        </references>
      </pivotArea>
    </format>
    <format dxfId="133">
      <pivotArea field="3" type="button" dataOnly="0" labelOnly="1" outline="0" axis="axisRow" fieldPosition="0"/>
    </format>
    <format dxfId="132">
      <pivotArea field="12" type="button" dataOnly="0" labelOnly="1" outline="0" axis="axisRow" fieldPosition="1"/>
    </format>
    <format dxfId="131">
      <pivotArea field="12" grandCol="1" outline="0" axis="axisRow" fieldPosition="1">
        <references count="3">
          <reference field="4294967294" count="1" selected="0">
            <x v="1"/>
          </reference>
          <reference field="3" count="5" selected="0">
            <x v="0"/>
            <x v="1"/>
            <x v="2"/>
            <x v="3"/>
            <x v="4"/>
          </reference>
          <reference field="12" count="6" selected="0">
            <x v="2"/>
            <x v="7"/>
            <x v="8"/>
            <x v="13"/>
            <x v="14"/>
            <x v="18"/>
          </reference>
        </references>
      </pivotArea>
    </format>
    <format dxfId="130">
      <pivotArea type="origin" dataOnly="0" labelOnly="1" outline="0" fieldPosition="0"/>
    </format>
    <format dxfId="129">
      <pivotArea field="8" type="button" dataOnly="0" labelOnly="1" outline="0" axis="axisCol" fieldPosition="0"/>
    </format>
    <format dxfId="128">
      <pivotArea field="-2" type="button" dataOnly="0" labelOnly="1" outline="0" axis="axisCol" fieldPosition="1"/>
    </format>
    <format dxfId="127">
      <pivotArea type="topRight" dataOnly="0" labelOnly="1" outline="0" fieldPosition="0"/>
    </format>
    <format dxfId="126">
      <pivotArea field="3" type="button" dataOnly="0" labelOnly="1" outline="0" axis="axisRow" fieldPosition="0"/>
    </format>
    <format dxfId="125">
      <pivotArea field="12" type="button" dataOnly="0" labelOnly="1" outline="0" axis="axisRow" fieldPosition="1"/>
    </format>
    <format dxfId="124">
      <pivotArea dataOnly="0" labelOnly="1" outline="0" fieldPosition="0">
        <references count="1">
          <reference field="8" count="2">
            <x v="1"/>
            <x v="2"/>
          </reference>
        </references>
      </pivotArea>
    </format>
    <format dxfId="123">
      <pivotArea field="8" dataOnly="0" labelOnly="1" grandCol="1" outline="0" axis="axisCol" fieldPosition="0">
        <references count="1">
          <reference field="4294967294" count="1" selected="0">
            <x v="0"/>
          </reference>
        </references>
      </pivotArea>
    </format>
    <format dxfId="122">
      <pivotArea field="8" dataOnly="0" labelOnly="1" grandCol="1" outline="0" axis="axisCol" fieldPosition="0">
        <references count="1">
          <reference field="4294967294" count="1" selected="0">
            <x v="1"/>
          </reference>
        </references>
      </pivotArea>
    </format>
    <format dxfId="121">
      <pivotArea dataOnly="0" labelOnly="1" outline="0" fieldPosition="0">
        <references count="2">
          <reference field="4294967294" count="2">
            <x v="0"/>
            <x v="1"/>
          </reference>
          <reference field="8" count="1" selected="0">
            <x v="1"/>
          </reference>
        </references>
      </pivotArea>
    </format>
    <format dxfId="120">
      <pivotArea dataOnly="0" labelOnly="1" outline="0" fieldPosition="0">
        <references count="2">
          <reference field="4294967294" count="2">
            <x v="0"/>
            <x v="1"/>
          </reference>
          <reference field="8" count="1" selected="0">
            <x v="2"/>
          </reference>
        </references>
      </pivotArea>
    </format>
    <format dxfId="119">
      <pivotArea grandRow="1" outline="0" collapsedLevelsAreSubtotals="1" fieldPosition="0"/>
    </format>
    <format dxfId="118">
      <pivotArea dataOnly="0" labelOnly="1" grandRow="1" outline="0" fieldPosition="0"/>
    </format>
    <format dxfId="117">
      <pivotArea grandRow="1" outline="0" collapsedLevelsAreSubtotals="1" fieldPosition="0"/>
    </format>
    <format dxfId="116">
      <pivotArea dataOnly="0" labelOnly="1" grandRow="1" outline="0" fieldPosition="0"/>
    </format>
    <format dxfId="115">
      <pivotArea dataOnly="0" outline="0" fieldPosition="0">
        <references count="4">
          <reference field="4294967294" count="0" defaultSubtotal="1" sumSubtotal="1" countASubtotal="1" avgSubtotal="1" maxSubtotal="1" minSubtotal="1" productSubtotal="1" countSubtotal="1" stdDevSubtotal="1" stdDevPSubtotal="1" varSubtotal="1" varPSubtotal="1"/>
          <reference field="8" count="1">
            <x v="2"/>
          </reference>
          <reference field="9" count="1" selected="0">
            <x v="1"/>
          </reference>
          <reference field="10" count="1" selected="0">
            <x v="0"/>
          </reference>
        </references>
      </pivotArea>
    </format>
    <format dxfId="114">
      <pivotArea dataOnly="0" outline="0" fieldPosition="0">
        <references count="4">
          <reference field="4294967294" count="0" defaultSubtotal="1" sumSubtotal="1" countASubtotal="1" avgSubtotal="1" maxSubtotal="1" minSubtotal="1" productSubtotal="1" countSubtotal="1" stdDevSubtotal="1" stdDevPSubtotal="1" varSubtotal="1" varPSubtotal="1"/>
          <reference field="8" count="1">
            <x v="2"/>
          </reference>
          <reference field="9" count="1" selected="0">
            <x v="1"/>
          </reference>
          <reference field="10" count="1" selected="0">
            <x v="0"/>
          </reference>
        </references>
      </pivotArea>
    </format>
    <format dxfId="113">
      <pivotArea grandRow="1" outline="0" collapsedLevelsAreSubtotals="1" fieldPosition="0"/>
    </format>
    <format dxfId="112">
      <pivotArea dataOnly="0" labelOnly="1" grandRow="1" outline="0" fieldPosition="0"/>
    </format>
    <format dxfId="111">
      <pivotArea outline="0" fieldPosition="0">
        <references count="2">
          <reference field="3" count="4" selected="0">
            <x v="0"/>
            <x v="1"/>
            <x v="2"/>
            <x v="4"/>
          </reference>
          <reference field="12" count="5" selected="0">
            <x v="2"/>
            <x v="7"/>
            <x v="8"/>
            <x v="13"/>
            <x v="18"/>
          </reference>
        </references>
      </pivotArea>
    </format>
    <format dxfId="110">
      <pivotArea dataOnly="0" labelOnly="1" outline="0" fieldPosition="0">
        <references count="2">
          <reference field="3" count="1" selected="0">
            <x v="0"/>
          </reference>
          <reference field="12" count="1">
            <x v="13"/>
          </reference>
        </references>
      </pivotArea>
    </format>
    <format dxfId="109">
      <pivotArea dataOnly="0" labelOnly="1" outline="0" fieldPosition="0">
        <references count="2">
          <reference field="3" count="1" selected="0">
            <x v="1"/>
          </reference>
          <reference field="12" count="1">
            <x v="7"/>
          </reference>
        </references>
      </pivotArea>
    </format>
    <format dxfId="108">
      <pivotArea dataOnly="0" labelOnly="1" outline="0" fieldPosition="0">
        <references count="2">
          <reference field="3" count="1" selected="0">
            <x v="2"/>
          </reference>
          <reference field="12" count="2">
            <x v="8"/>
            <x v="18"/>
          </reference>
        </references>
      </pivotArea>
    </format>
    <format dxfId="107">
      <pivotArea dataOnly="0" labelOnly="1" outline="0" fieldPosition="0">
        <references count="2">
          <reference field="3" count="1" selected="0">
            <x v="4"/>
          </reference>
          <reference field="12" count="1">
            <x v="2"/>
          </reference>
        </references>
      </pivotArea>
    </format>
    <format dxfId="106">
      <pivotArea grandRow="1" outline="0" collapsedLevelsAreSubtotals="1" fieldPosition="0"/>
    </format>
    <format dxfId="105">
      <pivotArea dataOnly="0" labelOnly="1" grandRow="1" outline="0" fieldPosition="0"/>
    </format>
    <format dxfId="104">
      <pivotArea type="origin" dataOnly="0" labelOnly="1" outline="0" fieldPosition="0"/>
    </format>
    <format dxfId="103">
      <pivotArea field="8" type="button" dataOnly="0" labelOnly="1" outline="0" axis="axisCol" fieldPosition="0"/>
    </format>
    <format dxfId="102">
      <pivotArea field="-2" type="button" dataOnly="0" labelOnly="1" outline="0" axis="axisCol" fieldPosition="1"/>
    </format>
    <format dxfId="101">
      <pivotArea type="topRight" dataOnly="0" labelOnly="1" outline="0" fieldPosition="0"/>
    </format>
    <format dxfId="100">
      <pivotArea field="3" type="button" dataOnly="0" labelOnly="1" outline="0" axis="axisRow" fieldPosition="0"/>
    </format>
    <format dxfId="99">
      <pivotArea field="12" type="button" dataOnly="0" labelOnly="1" outline="0" axis="axisRow" fieldPosition="1"/>
    </format>
    <format dxfId="98">
      <pivotArea dataOnly="0" labelOnly="1" outline="0" fieldPosition="0">
        <references count="1">
          <reference field="8" count="2">
            <x v="1"/>
            <x v="2"/>
          </reference>
        </references>
      </pivotArea>
    </format>
    <format dxfId="97">
      <pivotArea field="8" dataOnly="0" labelOnly="1" grandCol="1" outline="0" axis="axisCol" fieldPosition="0">
        <references count="1">
          <reference field="4294967294" count="1" selected="0">
            <x v="0"/>
          </reference>
        </references>
      </pivotArea>
    </format>
    <format dxfId="96">
      <pivotArea field="8" dataOnly="0" labelOnly="1" grandCol="1" outline="0" axis="axisCol" fieldPosition="0">
        <references count="1">
          <reference field="4294967294" count="1" selected="0">
            <x v="1"/>
          </reference>
        </references>
      </pivotArea>
    </format>
    <format dxfId="95">
      <pivotArea dataOnly="0" labelOnly="1" outline="0" fieldPosition="0">
        <references count="2">
          <reference field="4294967294" count="2">
            <x v="0"/>
            <x v="1"/>
          </reference>
          <reference field="8" count="1" selected="0">
            <x v="1"/>
          </reference>
        </references>
      </pivotArea>
    </format>
    <format dxfId="94">
      <pivotArea dataOnly="0" labelOnly="1" outline="0" fieldPosition="0">
        <references count="2">
          <reference field="4294967294" count="2">
            <x v="0"/>
            <x v="1"/>
          </reference>
          <reference field="8" count="1" selected="0">
            <x v="2"/>
          </reference>
        </references>
      </pivotArea>
    </format>
    <format dxfId="93">
      <pivotArea field="8" grandRow="1" outline="0" axis="axisCol" fieldPosition="0">
        <references count="2">
          <reference field="4294967294" count="1" selected="0">
            <x v="1"/>
          </reference>
          <reference field="8" count="1" selected="0">
            <x v="2"/>
          </reference>
        </references>
      </pivotArea>
    </format>
    <format dxfId="92">
      <pivotArea outline="0" fieldPosition="0">
        <references count="4">
          <reference field="4294967294" count="1" selected="0">
            <x v="1"/>
          </reference>
          <reference field="3" count="1" selected="0">
            <x v="2"/>
          </reference>
          <reference field="8" count="1" selected="0">
            <x v="2"/>
          </reference>
          <reference field="12" count="1" selected="0">
            <x v="18"/>
          </reference>
        </references>
      </pivotArea>
    </format>
    <format dxfId="91">
      <pivotArea outline="0" fieldPosition="0">
        <references count="4">
          <reference field="4294967294" count="1" selected="0">
            <x v="1"/>
          </reference>
          <reference field="3" count="4" selected="0">
            <x v="0"/>
            <x v="1"/>
            <x v="2"/>
            <x v="4"/>
          </reference>
          <reference field="8" count="1" selected="0">
            <x v="1"/>
          </reference>
          <reference field="12" count="5" selected="0">
            <x v="2"/>
            <x v="7"/>
            <x v="8"/>
            <x v="13"/>
            <x v="18"/>
          </reference>
        </references>
      </pivotArea>
    </format>
    <format dxfId="90">
      <pivotArea outline="0" fieldPosition="0">
        <references count="4">
          <reference field="4294967294" count="1" selected="0">
            <x v="1"/>
          </reference>
          <reference field="3" count="1" selected="0">
            <x v="3"/>
          </reference>
          <reference field="8" count="1" selected="0">
            <x v="1"/>
          </reference>
          <reference field="12" count="1" selected="0">
            <x v="24"/>
          </reference>
        </references>
      </pivotArea>
    </format>
    <format dxfId="89">
      <pivotArea field="12" grandCol="1" outline="0" axis="axisRow" fieldPosition="1">
        <references count="3">
          <reference field="4294967294" count="2" selected="0">
            <x v="0"/>
            <x v="1"/>
          </reference>
          <reference field="3" count="1" selected="0">
            <x v="3"/>
          </reference>
          <reference field="12" count="1" selected="0">
            <x v="24"/>
          </reference>
        </references>
      </pivotArea>
    </format>
    <format dxfId="88">
      <pivotArea field="12" grandCol="1" outline="0" axis="axisRow" fieldPosition="1">
        <references count="3">
          <reference field="4294967294" count="1" selected="0">
            <x v="0"/>
          </reference>
          <reference field="3" count="1" selected="0">
            <x v="3"/>
          </reference>
          <reference field="12" count="1" selected="0">
            <x v="24"/>
          </reference>
        </references>
      </pivotArea>
    </format>
  </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262FD4-1E8F-4B51-B21D-184B16DC7992}" name="PivotTable2" cacheId="0" applyNumberFormats="0" applyBorderFormats="0" applyFontFormats="0" applyPatternFormats="0" applyAlignmentFormats="0" applyWidthHeightFormats="1" dataCaption="Values" missingCaption="0" updatedVersion="8" minRefreshableVersion="3" showDrill="0" useAutoFormatting="1" itemPrintTitles="1" createdVersion="8" indent="0" compact="0" compactData="0" multipleFieldFilters="0" rowHeaderCaption="Timepieces Requested">
  <location ref="B25:I33" firstHeaderRow="1" firstDataRow="3" firstDataCol="2" rowPageCount="1" colPageCount="1"/>
  <pivotFields count="38">
    <pivotField compact="0" outline="0" showAll="0" defaultSubtotal="0"/>
    <pivotField compact="0" outline="0" showAll="0" defaultSubtotal="0"/>
    <pivotField compact="0" outline="0" showAll="0" defaultSubtotal="0"/>
    <pivotField axis="axisRow" compact="0" outline="0" showAll="0" defaultSubtotal="0">
      <items count="6">
        <item x="0"/>
        <item x="1"/>
        <item x="4"/>
        <item x="3"/>
        <item x="2"/>
        <item x="5"/>
      </items>
    </pivotField>
    <pivotField compact="0" outline="0" showAll="0" defaultSubtotal="0"/>
    <pivotField compact="0" outline="0" showAll="0" defaultSubtotal="0"/>
    <pivotField compact="0" outline="0" showAll="0" defaultSubtotal="0"/>
    <pivotField axis="axisCol" compact="0" outline="0" showAll="0" defaultSubtotal="0">
      <items count="5">
        <item x="2"/>
        <item x="0"/>
        <item x="1"/>
        <item x="3"/>
        <item x="4"/>
      </items>
    </pivotField>
    <pivotField compact="0" outline="0" showAll="0" defaultSubtotal="0"/>
    <pivotField axis="axisPage" compact="0" outline="0" multipleItemSelectionAllowed="1" showAll="0" defaultSubtotal="0">
      <items count="7">
        <item x="1"/>
        <item h="1" x="2"/>
        <item h="1" x="4"/>
        <item h="1" x="6"/>
        <item h="1" x="5"/>
        <item h="1" x="0"/>
        <item h="1" x="3"/>
      </items>
    </pivotField>
    <pivotField compact="0" outline="0" showAll="0" defaultSubtotal="0"/>
    <pivotField compact="0" outline="0" showAll="0" defaultSubtotal="0"/>
    <pivotField compact="0" outline="0" showAll="0" defaultSubtotal="0"/>
    <pivotField axis="axisRow" compact="0" outline="0" showAll="0" sortType="descending" defaultSubtotal="0">
      <items count="22">
        <item h="1" x="16"/>
        <item m="1" x="21"/>
        <item x="14"/>
        <item x="3"/>
        <item x="2"/>
        <item x="9"/>
        <item x="1"/>
        <item x="12"/>
        <item x="0"/>
        <item x="10"/>
        <item x="8"/>
        <item m="1" x="19"/>
        <item x="5"/>
        <item x="4"/>
        <item x="13"/>
        <item m="1" x="20"/>
        <item h="1" x="17"/>
        <item x="7"/>
        <item x="11"/>
        <item h="1" x="15"/>
        <item h="1" x="6"/>
        <item h="1" x="18"/>
      </items>
      <autoSortScope>
        <pivotArea dataOnly="0" outline="0" fieldPosition="0">
          <references count="1">
            <reference field="4294967294" count="1" selected="0">
              <x v="0"/>
            </reference>
          </references>
        </pivotArea>
      </autoSortScope>
    </pivotField>
    <pivotField compact="0" outline="0" showAll="0" defaultSubtotal="0"/>
    <pivotField dataField="1" compact="0" outline="0" showAll="0" defaultSubtotal="0"/>
    <pivotField dataField="1"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s>
  <rowFields count="2">
    <field x="3"/>
    <field x="13"/>
  </rowFields>
  <rowItems count="6">
    <i>
      <x/>
      <x v="10"/>
    </i>
    <i r="1">
      <x v="6"/>
    </i>
    <i>
      <x v="2"/>
      <x v="3"/>
    </i>
    <i r="1">
      <x v="10"/>
    </i>
    <i r="1">
      <x v="9"/>
    </i>
    <i t="grand">
      <x/>
    </i>
  </rowItems>
  <colFields count="2">
    <field x="-2"/>
    <field x="7"/>
  </colFields>
  <colItems count="6">
    <i>
      <x/>
      <x v="1"/>
    </i>
    <i r="1">
      <x v="2"/>
    </i>
    <i i="1">
      <x v="1"/>
      <x v="1"/>
    </i>
    <i r="1" i="1">
      <x v="2"/>
    </i>
    <i t="grand">
      <x/>
    </i>
    <i t="grand" i="1">
      <x/>
    </i>
  </colItems>
  <pageFields count="1">
    <pageField fld="9" hier="-1"/>
  </pageFields>
  <dataFields count="2">
    <dataField name="Count of Client ID" fld="16" subtotal="count" baseField="13" baseItem="13"/>
    <dataField name="Amount" fld="15" baseField="7" baseItem="1"/>
  </dataFields>
  <formats count="90">
    <format dxfId="293">
      <pivotArea dataOnly="0" labelOnly="1" fieldPosition="0">
        <references count="1">
          <reference field="13" count="0"/>
        </references>
      </pivotArea>
    </format>
    <format dxfId="292">
      <pivotArea dataOnly="0" labelOnly="1" fieldPosition="0">
        <references count="1">
          <reference field="13" count="0"/>
        </references>
      </pivotArea>
    </format>
    <format dxfId="291">
      <pivotArea type="all" dataOnly="0" outline="0" fieldPosition="0"/>
    </format>
    <format dxfId="290">
      <pivotArea outline="0" collapsedLevelsAreSubtotals="1" fieldPosition="0"/>
    </format>
    <format dxfId="289">
      <pivotArea field="13" type="button" dataOnly="0" labelOnly="1" outline="0" axis="axisRow" fieldPosition="1"/>
    </format>
    <format dxfId="288">
      <pivotArea dataOnly="0" labelOnly="1" fieldPosition="0">
        <references count="1">
          <reference field="13" count="0"/>
        </references>
      </pivotArea>
    </format>
    <format dxfId="287">
      <pivotArea dataOnly="0" labelOnly="1" grandRow="1" outline="0" fieldPosition="0"/>
    </format>
    <format dxfId="286">
      <pivotArea dataOnly="0" labelOnly="1" outline="0" axis="axisValues" fieldPosition="0"/>
    </format>
    <format dxfId="285">
      <pivotArea type="all" dataOnly="0" outline="0" fieldPosition="0"/>
    </format>
    <format dxfId="284">
      <pivotArea field="13" type="button" dataOnly="0" labelOnly="1" outline="0" axis="axisRow" fieldPosition="1"/>
    </format>
    <format dxfId="283">
      <pivotArea dataOnly="0" labelOnly="1" fieldPosition="0">
        <references count="1">
          <reference field="13" count="0"/>
        </references>
      </pivotArea>
    </format>
    <format dxfId="282">
      <pivotArea dataOnly="0" labelOnly="1" outline="0" axis="axisValues" fieldPosition="0"/>
    </format>
    <format dxfId="281">
      <pivotArea type="all" dataOnly="0" outline="0" fieldPosition="0"/>
    </format>
    <format dxfId="280">
      <pivotArea field="13" type="button" dataOnly="0" labelOnly="1" outline="0" axis="axisRow" fieldPosition="1"/>
    </format>
    <format dxfId="279">
      <pivotArea dataOnly="0" labelOnly="1" fieldPosition="0">
        <references count="1">
          <reference field="13" count="0"/>
        </references>
      </pivotArea>
    </format>
    <format dxfId="278">
      <pivotArea dataOnly="0" labelOnly="1" outline="0" axis="axisValues" fieldPosition="0"/>
    </format>
    <format dxfId="277">
      <pivotArea dataOnly="0" labelOnly="1" outline="0" axis="axisValues" fieldPosition="0"/>
    </format>
    <format dxfId="276">
      <pivotArea collapsedLevelsAreSubtotals="1" fieldPosition="0">
        <references count="1">
          <reference field="13" count="0"/>
        </references>
      </pivotArea>
    </format>
    <format dxfId="275">
      <pivotArea type="origin" dataOnly="0" labelOnly="1" outline="0" fieldPosition="0"/>
    </format>
    <format dxfId="274">
      <pivotArea field="13" type="button" dataOnly="0" labelOnly="1" outline="0" axis="axisRow" fieldPosition="1"/>
    </format>
    <format dxfId="273">
      <pivotArea outline="0" fieldPosition="0">
        <references count="4">
          <reference field="4294967294" count="1" selected="0">
            <x v="1"/>
          </reference>
          <reference field="3" count="4" selected="0">
            <x v="0"/>
            <x v="2"/>
            <x v="3"/>
            <x v="4"/>
          </reference>
          <reference field="7" count="2" selected="0">
            <x v="1"/>
            <x v="2"/>
          </reference>
          <reference field="13" count="7" selected="0">
            <x v="3"/>
            <x v="6"/>
            <x v="7"/>
            <x v="9"/>
            <x v="10"/>
            <x v="11"/>
            <x v="17"/>
          </reference>
        </references>
      </pivotArea>
    </format>
    <format dxfId="272">
      <pivotArea outline="0" fieldPosition="0">
        <references count="4">
          <reference field="4294967294" count="1" selected="0">
            <x v="1"/>
          </reference>
          <reference field="3" count="4" selected="0">
            <x v="0"/>
            <x v="2"/>
            <x v="3"/>
            <x v="4"/>
          </reference>
          <reference field="7" count="2" selected="0">
            <x v="1"/>
            <x v="2"/>
          </reference>
          <reference field="13" count="7" selected="0">
            <x v="3"/>
            <x v="6"/>
            <x v="7"/>
            <x v="9"/>
            <x v="10"/>
            <x v="11"/>
            <x v="17"/>
          </reference>
        </references>
      </pivotArea>
    </format>
    <format dxfId="271">
      <pivotArea field="3" grandRow="1" outline="0" axis="axisRow" fieldPosition="0">
        <references count="1">
          <reference field="4294967294" count="1" selected="0">
            <x v="1"/>
          </reference>
        </references>
      </pivotArea>
    </format>
    <format dxfId="270">
      <pivotArea type="all" dataOnly="0" outline="0" fieldPosition="0"/>
    </format>
    <format dxfId="269">
      <pivotArea outline="0" collapsedLevelsAreSubtotals="1" fieldPosition="0"/>
    </format>
    <format dxfId="268">
      <pivotArea field="3" type="button" dataOnly="0" labelOnly="1" outline="0" axis="axisRow" fieldPosition="0"/>
    </format>
    <format dxfId="267">
      <pivotArea field="13" type="button" dataOnly="0" labelOnly="1" outline="0" axis="axisRow" fieldPosition="1"/>
    </format>
    <format dxfId="266">
      <pivotArea field="7" type="button" dataOnly="0" labelOnly="1" outline="0" axis="axisCol" fieldPosition="1"/>
    </format>
    <format dxfId="265">
      <pivotArea dataOnly="0" labelOnly="1" outline="0" fieldPosition="0">
        <references count="1">
          <reference field="3" count="4">
            <x v="0"/>
            <x v="2"/>
            <x v="3"/>
            <x v="4"/>
          </reference>
        </references>
      </pivotArea>
    </format>
    <format dxfId="264">
      <pivotArea dataOnly="0" labelOnly="1" grandRow="1" outline="0" fieldPosition="0"/>
    </format>
    <format dxfId="263">
      <pivotArea dataOnly="0" labelOnly="1" outline="0" fieldPosition="0">
        <references count="2">
          <reference field="3" count="1" selected="0">
            <x v="0"/>
          </reference>
          <reference field="13" count="2">
            <x v="6"/>
            <x v="10"/>
          </reference>
        </references>
      </pivotArea>
    </format>
    <format dxfId="262">
      <pivotArea dataOnly="0" labelOnly="1" outline="0" fieldPosition="0">
        <references count="2">
          <reference field="3" count="1" selected="0">
            <x v="2"/>
          </reference>
          <reference field="13" count="3">
            <x v="3"/>
            <x v="9"/>
            <x v="10"/>
          </reference>
        </references>
      </pivotArea>
    </format>
    <format dxfId="261">
      <pivotArea dataOnly="0" labelOnly="1" outline="0" fieldPosition="0">
        <references count="2">
          <reference field="3" count="1" selected="0">
            <x v="3"/>
          </reference>
          <reference field="13" count="2">
            <x v="7"/>
            <x v="11"/>
          </reference>
        </references>
      </pivotArea>
    </format>
    <format dxfId="260">
      <pivotArea dataOnly="0" labelOnly="1" outline="0" fieldPosition="0">
        <references count="2">
          <reference field="3" count="1" selected="0">
            <x v="4"/>
          </reference>
          <reference field="13" count="1">
            <x v="17"/>
          </reference>
        </references>
      </pivotArea>
    </format>
    <format dxfId="259">
      <pivotArea dataOnly="0" labelOnly="1" outline="0" fieldPosition="0">
        <references count="3">
          <reference field="3" count="1" selected="0">
            <x v="0"/>
          </reference>
          <reference field="7" count="1">
            <x v="1"/>
          </reference>
          <reference field="13" count="1" selected="0">
            <x v="10"/>
          </reference>
        </references>
      </pivotArea>
    </format>
    <format dxfId="258">
      <pivotArea dataOnly="0" labelOnly="1" outline="0" fieldPosition="0">
        <references count="3">
          <reference field="3" count="1" selected="0">
            <x v="0"/>
          </reference>
          <reference field="7" count="1">
            <x v="1"/>
          </reference>
          <reference field="13" count="1" selected="0">
            <x v="6"/>
          </reference>
        </references>
      </pivotArea>
    </format>
    <format dxfId="257">
      <pivotArea dataOnly="0" labelOnly="1" outline="0" fieldPosition="0">
        <references count="3">
          <reference field="3" count="1" selected="0">
            <x v="2"/>
          </reference>
          <reference field="7" count="1">
            <x v="2"/>
          </reference>
          <reference field="13" count="1" selected="0">
            <x v="3"/>
          </reference>
        </references>
      </pivotArea>
    </format>
    <format dxfId="256">
      <pivotArea dataOnly="0" labelOnly="1" outline="0" fieldPosition="0">
        <references count="3">
          <reference field="3" count="1" selected="0">
            <x v="2"/>
          </reference>
          <reference field="7" count="1">
            <x v="1"/>
          </reference>
          <reference field="13" count="1" selected="0">
            <x v="10"/>
          </reference>
        </references>
      </pivotArea>
    </format>
    <format dxfId="255">
      <pivotArea dataOnly="0" labelOnly="1" outline="0" fieldPosition="0">
        <references count="3">
          <reference field="3" count="1" selected="0">
            <x v="2"/>
          </reference>
          <reference field="7" count="1">
            <x v="2"/>
          </reference>
          <reference field="13" count="1" selected="0">
            <x v="9"/>
          </reference>
        </references>
      </pivotArea>
    </format>
    <format dxfId="254">
      <pivotArea dataOnly="0" labelOnly="1" outline="0" fieldPosition="0">
        <references count="3">
          <reference field="3" count="1" selected="0">
            <x v="3"/>
          </reference>
          <reference field="7" count="1">
            <x v="1"/>
          </reference>
          <reference field="13" count="1" selected="0">
            <x v="7"/>
          </reference>
        </references>
      </pivotArea>
    </format>
    <format dxfId="253">
      <pivotArea dataOnly="0" labelOnly="1" outline="0" fieldPosition="0">
        <references count="3">
          <reference field="3" count="1" selected="0">
            <x v="3"/>
          </reference>
          <reference field="7" count="1">
            <x v="1"/>
          </reference>
          <reference field="13" count="1" selected="0">
            <x v="11"/>
          </reference>
        </references>
      </pivotArea>
    </format>
    <format dxfId="252">
      <pivotArea dataOnly="0" labelOnly="1" outline="0" fieldPosition="0">
        <references count="3">
          <reference field="3" count="1" selected="0">
            <x v="4"/>
          </reference>
          <reference field="7" count="1">
            <x v="2"/>
          </reference>
          <reference field="13" count="1" selected="0">
            <x v="17"/>
          </reference>
        </references>
      </pivotArea>
    </format>
    <format dxfId="251">
      <pivotArea dataOnly="0" labelOnly="1" outline="0" fieldPosition="0">
        <references count="1">
          <reference field="4294967294" count="2">
            <x v="0"/>
            <x v="1"/>
          </reference>
        </references>
      </pivotArea>
    </format>
    <format dxfId="250">
      <pivotArea type="all" dataOnly="0" outline="0" fieldPosition="0"/>
    </format>
    <format dxfId="249">
      <pivotArea outline="0" collapsedLevelsAreSubtotals="1" fieldPosition="0"/>
    </format>
    <format dxfId="248">
      <pivotArea field="3" type="button" dataOnly="0" labelOnly="1" outline="0" axis="axisRow" fieldPosition="0"/>
    </format>
    <format dxfId="247">
      <pivotArea field="13" type="button" dataOnly="0" labelOnly="1" outline="0" axis="axisRow" fieldPosition="1"/>
    </format>
    <format dxfId="246">
      <pivotArea field="7" type="button" dataOnly="0" labelOnly="1" outline="0" axis="axisCol" fieldPosition="1"/>
    </format>
    <format dxfId="245">
      <pivotArea dataOnly="0" labelOnly="1" outline="0" fieldPosition="0">
        <references count="1">
          <reference field="3" count="4">
            <x v="0"/>
            <x v="2"/>
            <x v="3"/>
            <x v="4"/>
          </reference>
        </references>
      </pivotArea>
    </format>
    <format dxfId="244">
      <pivotArea dataOnly="0" labelOnly="1" grandRow="1" outline="0" fieldPosition="0"/>
    </format>
    <format dxfId="243">
      <pivotArea dataOnly="0" labelOnly="1" outline="0" fieldPosition="0">
        <references count="2">
          <reference field="3" count="1" selected="0">
            <x v="0"/>
          </reference>
          <reference field="13" count="2">
            <x v="6"/>
            <x v="10"/>
          </reference>
        </references>
      </pivotArea>
    </format>
    <format dxfId="242">
      <pivotArea dataOnly="0" labelOnly="1" outline="0" fieldPosition="0">
        <references count="2">
          <reference field="3" count="1" selected="0">
            <x v="2"/>
          </reference>
          <reference field="13" count="3">
            <x v="3"/>
            <x v="9"/>
            <x v="10"/>
          </reference>
        </references>
      </pivotArea>
    </format>
    <format dxfId="241">
      <pivotArea dataOnly="0" labelOnly="1" outline="0" fieldPosition="0">
        <references count="2">
          <reference field="3" count="1" selected="0">
            <x v="3"/>
          </reference>
          <reference field="13" count="2">
            <x v="7"/>
            <x v="11"/>
          </reference>
        </references>
      </pivotArea>
    </format>
    <format dxfId="240">
      <pivotArea dataOnly="0" labelOnly="1" outline="0" fieldPosition="0">
        <references count="2">
          <reference field="3" count="1" selected="0">
            <x v="4"/>
          </reference>
          <reference field="13" count="1">
            <x v="17"/>
          </reference>
        </references>
      </pivotArea>
    </format>
    <format dxfId="239">
      <pivotArea dataOnly="0" labelOnly="1" outline="0" fieldPosition="0">
        <references count="3">
          <reference field="3" count="1" selected="0">
            <x v="0"/>
          </reference>
          <reference field="7" count="1">
            <x v="1"/>
          </reference>
          <reference field="13" count="1" selected="0">
            <x v="10"/>
          </reference>
        </references>
      </pivotArea>
    </format>
    <format dxfId="238">
      <pivotArea dataOnly="0" labelOnly="1" outline="0" fieldPosition="0">
        <references count="3">
          <reference field="3" count="1" selected="0">
            <x v="0"/>
          </reference>
          <reference field="7" count="1">
            <x v="1"/>
          </reference>
          <reference field="13" count="1" selected="0">
            <x v="6"/>
          </reference>
        </references>
      </pivotArea>
    </format>
    <format dxfId="237">
      <pivotArea dataOnly="0" labelOnly="1" outline="0" fieldPosition="0">
        <references count="3">
          <reference field="3" count="1" selected="0">
            <x v="2"/>
          </reference>
          <reference field="7" count="1">
            <x v="2"/>
          </reference>
          <reference field="13" count="1" selected="0">
            <x v="3"/>
          </reference>
        </references>
      </pivotArea>
    </format>
    <format dxfId="236">
      <pivotArea dataOnly="0" labelOnly="1" outline="0" fieldPosition="0">
        <references count="3">
          <reference field="3" count="1" selected="0">
            <x v="2"/>
          </reference>
          <reference field="7" count="1">
            <x v="1"/>
          </reference>
          <reference field="13" count="1" selected="0">
            <x v="10"/>
          </reference>
        </references>
      </pivotArea>
    </format>
    <format dxfId="235">
      <pivotArea dataOnly="0" labelOnly="1" outline="0" fieldPosition="0">
        <references count="3">
          <reference field="3" count="1" selected="0">
            <x v="2"/>
          </reference>
          <reference field="7" count="1">
            <x v="2"/>
          </reference>
          <reference field="13" count="1" selected="0">
            <x v="9"/>
          </reference>
        </references>
      </pivotArea>
    </format>
    <format dxfId="234">
      <pivotArea dataOnly="0" labelOnly="1" outline="0" fieldPosition="0">
        <references count="3">
          <reference field="3" count="1" selected="0">
            <x v="3"/>
          </reference>
          <reference field="7" count="1">
            <x v="1"/>
          </reference>
          <reference field="13" count="1" selected="0">
            <x v="7"/>
          </reference>
        </references>
      </pivotArea>
    </format>
    <format dxfId="233">
      <pivotArea dataOnly="0" labelOnly="1" outline="0" fieldPosition="0">
        <references count="3">
          <reference field="3" count="1" selected="0">
            <x v="3"/>
          </reference>
          <reference field="7" count="1">
            <x v="1"/>
          </reference>
          <reference field="13" count="1" selected="0">
            <x v="11"/>
          </reference>
        </references>
      </pivotArea>
    </format>
    <format dxfId="232">
      <pivotArea dataOnly="0" labelOnly="1" outline="0" fieldPosition="0">
        <references count="3">
          <reference field="3" count="1" selected="0">
            <x v="4"/>
          </reference>
          <reference field="7" count="1">
            <x v="2"/>
          </reference>
          <reference field="13" count="1" selected="0">
            <x v="17"/>
          </reference>
        </references>
      </pivotArea>
    </format>
    <format dxfId="231">
      <pivotArea dataOnly="0" labelOnly="1" outline="0" fieldPosition="0">
        <references count="1">
          <reference field="4294967294" count="2">
            <x v="0"/>
            <x v="1"/>
          </reference>
        </references>
      </pivotArea>
    </format>
    <format dxfId="230">
      <pivotArea dataOnly="0" labelOnly="1" fieldPosition="0">
        <references count="1">
          <reference field="13" count="0"/>
        </references>
      </pivotArea>
    </format>
    <format dxfId="229">
      <pivotArea collapsedLevelsAreSubtotals="1" fieldPosition="0">
        <references count="4">
          <reference field="4294967294" count="1" selected="0">
            <x v="0"/>
          </reference>
          <reference field="3" count="1" selected="0">
            <x v="0"/>
          </reference>
          <reference field="7" count="1" selected="0">
            <x v="1"/>
          </reference>
          <reference field="13" count="2">
            <x v="6"/>
            <x v="10"/>
          </reference>
        </references>
      </pivotArea>
    </format>
    <format dxfId="228">
      <pivotArea collapsedLevelsAreSubtotals="1" fieldPosition="0">
        <references count="3">
          <reference field="4294967294" count="1" selected="0">
            <x v="0"/>
          </reference>
          <reference field="3" count="1">
            <x v="2"/>
          </reference>
          <reference field="7" count="1" selected="0">
            <x v="1"/>
          </reference>
        </references>
      </pivotArea>
    </format>
    <format dxfId="227">
      <pivotArea collapsedLevelsAreSubtotals="1" fieldPosition="0">
        <references count="4">
          <reference field="4294967294" count="1" selected="0">
            <x v="0"/>
          </reference>
          <reference field="3" count="1" selected="0">
            <x v="2"/>
          </reference>
          <reference field="7" count="1" selected="0">
            <x v="1"/>
          </reference>
          <reference field="13" count="1">
            <x v="10"/>
          </reference>
        </references>
      </pivotArea>
    </format>
    <format dxfId="226">
      <pivotArea collapsedLevelsAreSubtotals="1" fieldPosition="0">
        <references count="3">
          <reference field="4294967294" count="1" selected="0">
            <x v="0"/>
          </reference>
          <reference field="3" count="1">
            <x v="3"/>
          </reference>
          <reference field="7" count="1" selected="0">
            <x v="1"/>
          </reference>
        </references>
      </pivotArea>
    </format>
    <format dxfId="225">
      <pivotArea collapsedLevelsAreSubtotals="1" fieldPosition="0">
        <references count="4">
          <reference field="4294967294" count="1" selected="0">
            <x v="0"/>
          </reference>
          <reference field="3" count="1" selected="0">
            <x v="3"/>
          </reference>
          <reference field="7" count="1" selected="0">
            <x v="1"/>
          </reference>
          <reference field="13" count="2">
            <x v="7"/>
            <x v="11"/>
          </reference>
        </references>
      </pivotArea>
    </format>
    <format dxfId="224">
      <pivotArea collapsedLevelsAreSubtotals="1" fieldPosition="0">
        <references count="2">
          <reference field="4294967294" count="1" selected="0">
            <x v="0"/>
          </reference>
          <reference field="7" count="1">
            <x v="2"/>
          </reference>
        </references>
      </pivotArea>
    </format>
    <format dxfId="223">
      <pivotArea collapsedLevelsAreSubtotals="1" fieldPosition="0">
        <references count="3">
          <reference field="4294967294" count="1" selected="0">
            <x v="0"/>
          </reference>
          <reference field="3" count="1">
            <x v="2"/>
          </reference>
          <reference field="7" count="1" selected="0">
            <x v="2"/>
          </reference>
        </references>
      </pivotArea>
    </format>
    <format dxfId="222">
      <pivotArea collapsedLevelsAreSubtotals="1" fieldPosition="0">
        <references count="4">
          <reference field="4294967294" count="1" selected="0">
            <x v="0"/>
          </reference>
          <reference field="3" count="1" selected="0">
            <x v="2"/>
          </reference>
          <reference field="7" count="1" selected="0">
            <x v="2"/>
          </reference>
          <reference field="13" count="2">
            <x v="3"/>
            <x v="9"/>
          </reference>
        </references>
      </pivotArea>
    </format>
    <format dxfId="221">
      <pivotArea collapsedLevelsAreSubtotals="1" fieldPosition="0">
        <references count="3">
          <reference field="4294967294" count="1" selected="0">
            <x v="0"/>
          </reference>
          <reference field="3" count="1">
            <x v="4"/>
          </reference>
          <reference field="7" count="1" selected="0">
            <x v="2"/>
          </reference>
        </references>
      </pivotArea>
    </format>
    <format dxfId="220">
      <pivotArea collapsedLevelsAreSubtotals="1" fieldPosition="0">
        <references count="4">
          <reference field="4294967294" count="1" selected="0">
            <x v="0"/>
          </reference>
          <reference field="3" count="1" selected="0">
            <x v="4"/>
          </reference>
          <reference field="7" count="1" selected="0">
            <x v="2"/>
          </reference>
          <reference field="13" count="1">
            <x v="17"/>
          </reference>
        </references>
      </pivotArea>
    </format>
    <format dxfId="219">
      <pivotArea collapsedLevelsAreSubtotals="1" fieldPosition="0">
        <references count="3">
          <reference field="4294967294" count="1" selected="0">
            <x v="0"/>
          </reference>
          <reference field="3" count="1">
            <x v="0"/>
          </reference>
          <reference field="7" count="1" selected="0">
            <x v="1"/>
          </reference>
        </references>
      </pivotArea>
    </format>
    <format dxfId="218">
      <pivotArea collapsedLevelsAreSubtotals="1" fieldPosition="0">
        <references count="4">
          <reference field="4294967294" count="1" selected="0">
            <x v="0"/>
          </reference>
          <reference field="3" count="1" selected="0">
            <x v="0"/>
          </reference>
          <reference field="7" count="1" selected="0">
            <x v="1"/>
          </reference>
          <reference field="13" count="2">
            <x v="6"/>
            <x v="10"/>
          </reference>
        </references>
      </pivotArea>
    </format>
    <format dxfId="217">
      <pivotArea collapsedLevelsAreSubtotals="1" fieldPosition="0">
        <references count="3">
          <reference field="4294967294" count="1" selected="0">
            <x v="0"/>
          </reference>
          <reference field="3" count="1">
            <x v="2"/>
          </reference>
          <reference field="7" count="1" selected="0">
            <x v="1"/>
          </reference>
        </references>
      </pivotArea>
    </format>
    <format dxfId="216">
      <pivotArea collapsedLevelsAreSubtotals="1" fieldPosition="0">
        <references count="4">
          <reference field="4294967294" count="1" selected="0">
            <x v="0"/>
          </reference>
          <reference field="3" count="1" selected="0">
            <x v="2"/>
          </reference>
          <reference field="7" count="1" selected="0">
            <x v="1"/>
          </reference>
          <reference field="13" count="1">
            <x v="10"/>
          </reference>
        </references>
      </pivotArea>
    </format>
    <format dxfId="215">
      <pivotArea collapsedLevelsAreSubtotals="1" fieldPosition="0">
        <references count="3">
          <reference field="4294967294" count="1" selected="0">
            <x v="0"/>
          </reference>
          <reference field="3" count="1">
            <x v="3"/>
          </reference>
          <reference field="7" count="1" selected="0">
            <x v="1"/>
          </reference>
        </references>
      </pivotArea>
    </format>
    <format dxfId="214">
      <pivotArea collapsedLevelsAreSubtotals="1" fieldPosition="0">
        <references count="4">
          <reference field="4294967294" count="1" selected="0">
            <x v="0"/>
          </reference>
          <reference field="3" count="1" selected="0">
            <x v="3"/>
          </reference>
          <reference field="7" count="1" selected="0">
            <x v="1"/>
          </reference>
          <reference field="13" count="2">
            <x v="7"/>
            <x v="11"/>
          </reference>
        </references>
      </pivotArea>
    </format>
    <format dxfId="213">
      <pivotArea collapsedLevelsAreSubtotals="1" fieldPosition="0">
        <references count="2">
          <reference field="4294967294" count="1" selected="0">
            <x v="0"/>
          </reference>
          <reference field="7" count="1">
            <x v="2"/>
          </reference>
        </references>
      </pivotArea>
    </format>
    <format dxfId="212">
      <pivotArea collapsedLevelsAreSubtotals="1" fieldPosition="0">
        <references count="3">
          <reference field="4294967294" count="1" selected="0">
            <x v="0"/>
          </reference>
          <reference field="3" count="1">
            <x v="2"/>
          </reference>
          <reference field="7" count="1" selected="0">
            <x v="2"/>
          </reference>
        </references>
      </pivotArea>
    </format>
    <format dxfId="211">
      <pivotArea collapsedLevelsAreSubtotals="1" fieldPosition="0">
        <references count="4">
          <reference field="4294967294" count="1" selected="0">
            <x v="0"/>
          </reference>
          <reference field="3" count="1" selected="0">
            <x v="2"/>
          </reference>
          <reference field="7" count="1" selected="0">
            <x v="2"/>
          </reference>
          <reference field="13" count="2">
            <x v="3"/>
            <x v="9"/>
          </reference>
        </references>
      </pivotArea>
    </format>
    <format dxfId="210">
      <pivotArea collapsedLevelsAreSubtotals="1" fieldPosition="0">
        <references count="3">
          <reference field="4294967294" count="1" selected="0">
            <x v="0"/>
          </reference>
          <reference field="3" count="1">
            <x v="4"/>
          </reference>
          <reference field="7" count="1" selected="0">
            <x v="2"/>
          </reference>
        </references>
      </pivotArea>
    </format>
    <format dxfId="209">
      <pivotArea collapsedLevelsAreSubtotals="1" fieldPosition="0">
        <references count="4">
          <reference field="4294967294" count="1" selected="0">
            <x v="0"/>
          </reference>
          <reference field="3" count="1" selected="0">
            <x v="4"/>
          </reference>
          <reference field="7" count="1" selected="0">
            <x v="2"/>
          </reference>
          <reference field="13" count="1">
            <x v="17"/>
          </reference>
        </references>
      </pivotArea>
    </format>
    <format dxfId="208">
      <pivotArea field="7" grandRow="1" outline="0" collapsedLevelsAreSubtotals="1" axis="axisCol" fieldPosition="1">
        <references count="2">
          <reference field="4294967294" count="1" selected="0">
            <x v="0"/>
          </reference>
          <reference field="7" count="1" selected="0">
            <x v="2"/>
          </reference>
        </references>
      </pivotArea>
    </format>
    <format dxfId="207">
      <pivotArea field="7" grandRow="1" outline="0" collapsedLevelsAreSubtotals="1" axis="axisCol" fieldPosition="1">
        <references count="2">
          <reference field="4294967294" count="1" selected="0">
            <x v="0"/>
          </reference>
          <reference field="7" count="1" selected="0">
            <x v="2"/>
          </reference>
        </references>
      </pivotArea>
    </format>
    <format dxfId="206">
      <pivotArea field="13" grandCol="1" outline="0" axis="axisRow" fieldPosition="1">
        <references count="3">
          <reference field="4294967294" count="1" selected="0">
            <x v="1"/>
          </reference>
          <reference field="3" count="4" selected="0">
            <x v="0"/>
            <x v="2"/>
            <x v="3"/>
            <x v="4"/>
          </reference>
          <reference field="13" count="7" selected="0">
            <x v="3"/>
            <x v="6"/>
            <x v="7"/>
            <x v="9"/>
            <x v="10"/>
            <x v="11"/>
            <x v="17"/>
          </reference>
        </references>
      </pivotArea>
    </format>
    <format dxfId="205">
      <pivotArea outline="0" fieldPosition="0">
        <references count="4">
          <reference field="4294967294" count="1" selected="0">
            <x v="0"/>
          </reference>
          <reference field="3" count="4" selected="0">
            <x v="0"/>
            <x v="2"/>
            <x v="3"/>
            <x v="4"/>
          </reference>
          <reference field="7" count="2" selected="0">
            <x v="1"/>
            <x v="2"/>
          </reference>
          <reference field="13" count="7" selected="0">
            <x v="3"/>
            <x v="6"/>
            <x v="7"/>
            <x v="9"/>
            <x v="10"/>
            <x v="11"/>
            <x v="17"/>
          </reference>
        </references>
      </pivotArea>
    </format>
    <format dxfId="204">
      <pivotArea field="13" grandCol="1" outline="0" axis="axisRow" fieldPosition="1">
        <references count="3">
          <reference field="4294967294" count="1" selected="0">
            <x v="0"/>
          </reference>
          <reference field="3" count="4" selected="0">
            <x v="0"/>
            <x v="2"/>
            <x v="3"/>
            <x v="4"/>
          </reference>
          <reference field="13" count="7" selected="0">
            <x v="3"/>
            <x v="6"/>
            <x v="7"/>
            <x v="9"/>
            <x v="10"/>
            <x v="11"/>
            <x v="17"/>
          </reference>
        </references>
      </pivotArea>
    </format>
  </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ASSOCIATE" xr10:uid="{1A6F7096-6A47-4A4C-AF4B-E684FE273F5A}" sourceName="SALES ASSOCIATE">
  <pivotTables>
    <pivotTable tabId="19" name="PivotTable1"/>
  </pivotTables>
  <data>
    <tabular pivotCacheId="1581858346">
      <items count="4">
        <i x="2"/>
        <i x="0" s="1"/>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ASSOCIATE" xr10:uid="{B2A9065A-4A0F-4DA5-9718-9E06AB96FDCA}" cache="Slicer_SALES_ASSOCIATE" caption="SALES ASSOCI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2D0B62-A62A-4B47-8686-F2206BA9D0F9}" name="OpenPendingCases" displayName="OpenPendingCases" ref="C4:AN569" totalsRowShown="0" headerRowDxfId="376" dataDxfId="375" tableBorderDxfId="374">
  <autoFilter ref="C4:AN569" xr:uid="{962D0B62-A62A-4B47-8686-F2206BA9D0F9}">
    <filterColumn colId="9">
      <customFilters>
        <customFilter operator="notEqual" val=" "/>
      </customFilters>
    </filterColumn>
    <filterColumn colId="18">
      <filters>
        <filter val="Open Sale"/>
        <filter val="Pending Allocation"/>
        <filter val="Transferred"/>
      </filters>
    </filterColumn>
  </autoFilter>
  <tableColumns count="38">
    <tableColumn id="1" xr3:uid="{DF386EE7-F936-4965-AE82-057A320C10DE}" name="No. " dataDxfId="373"/>
    <tableColumn id="2" xr3:uid="{02B49B9A-2A25-43B8-B571-08BE7EB03180}" name="Search Open" dataDxfId="372">
      <calculatedColumnFormula>IF($U5="Open", IF(MAX($D$4:D4)+1=0, "", MAX($D$4:D4)+1), "")</calculatedColumnFormula>
    </tableColumn>
    <tableColumn id="3" xr3:uid="{9AF66618-569E-4A2C-A802-1958A05C85A0}" name="Search pending" dataDxfId="371">
      <calculatedColumnFormula>IF($U5="Pending Allocation", IF(MAX($E$4:E4)+1=0, "", MAX($E$4:E4)+1), "")</calculatedColumnFormula>
    </tableColumn>
    <tableColumn id="4" xr3:uid="{1203B079-44BE-4F2F-827F-AF98F0555278}" name="CRC Name" dataDxfId="370"/>
    <tableColumn id="31" xr3:uid="{8E180453-7F61-40BA-B986-1CDBF0B9399B}" name="Airtable Request Number" dataDxfId="369"/>
    <tableColumn id="5" xr3:uid="{F23F7F8E-5B95-48DB-A355-6C110C07A5D1}" name="Airtable Request Enty Date" dataDxfId="368"/>
    <tableColumn id="27" xr3:uid="{C17557D2-6277-431B-82F3-241936D197A3}" name="Request Entry Date" dataDxfId="367"/>
    <tableColumn id="6" xr3:uid="{9F4E2CD0-41A3-40C2-A205-64F8F1A65072}" name="Piece location" dataDxfId="366">
      <calculatedColumnFormula>IF(OpenPendingCases[[#This Row],[Timepiece Reference ]]="", "", IF(_xlfn.XLOOKUP(OpenPendingCases[[#This Row],[Timepiece Reference ]], Table1[[Timepiece Reference ]], Table1[CRC STOCK], "Not Found")="YES", "CRC Stock", "Boutique Stock"))</calculatedColumnFormula>
    </tableColumn>
    <tableColumn id="24" xr3:uid="{4EDA9DCD-A7E4-4002-BFC0-0F23191F8A57}" name="Transaction location" dataDxfId="365">
      <calculatedColumnFormula>IF(OpenPendingCases[[#This Row],[Timepiece Reference ]]="", "", IF(_xlfn.XLOOKUP(OpenPendingCases[[#This Row],[Timepiece Reference ]], Table1[[Timepiece Reference ]], Table1[CRC STOCK], "Not Found")="YES", "CRC Stock", "Boutique Stock"))</calculatedColumnFormula>
    </tableColumn>
    <tableColumn id="7" xr3:uid="{57BF9BD3-57F6-485A-9CA3-45473DCACCD1}" name=" Timepiece Status" dataDxfId="364"/>
    <tableColumn id="9" xr3:uid="{32AD8385-002C-4BB2-8465-D4B957DA71B3}" name="Potential Same Month" dataDxfId="363"/>
    <tableColumn id="10" xr3:uid="{5EE85D97-F1B7-4D1B-8013-050E61B978E4}" name="Transaction Market" dataDxfId="362"/>
    <tableColumn id="11" xr3:uid="{60E046B9-3C07-46A8-9EFF-E60AE66D4290}" name="Timepiece Reference " dataDxfId="361"/>
    <tableColumn id="12" xr3:uid="{FEEE7376-365B-47A4-8766-133D71B686EE}" name="Collection Name" dataDxfId="360">
      <calculatedColumnFormula>IFERROR(VLOOKUP(TRIM(O5), Collection!$B$2:$D$1001, 2, FALSE), "")</calculatedColumnFormula>
    </tableColumn>
    <tableColumn id="13" xr3:uid="{D0B89E0B-E4AC-4BD3-AE57-2174CCA81841}" name="Price" dataDxfId="359">
      <calculatedColumnFormula>IFERROR(VLOOKUP(TRIM(O5), Collection!$B$2:$D$1001, 3, FALSE), "")</calculatedColumnFormula>
    </tableColumn>
    <tableColumn id="33" xr3:uid="{B2798675-C2F2-48A6-88A1-AF93B976FB10}" name="Price 2" dataDxfId="358" dataCellStyle="Hyperlink">
      <calculatedColumnFormula>IFERROR(VALUE(SUBSTITUTE(SUBSTITUTE(Q5, "Price", ""), "AED", "")), "")</calculatedColumnFormula>
    </tableColumn>
    <tableColumn id="14" xr3:uid="{A0341830-ABC3-43AA-9B55-CCCCB2379C32}" name="Client ID" dataDxfId="357" dataCellStyle="Hyperlink"/>
    <tableColumn id="25" xr3:uid="{969E7F6A-9B3A-4FCC-832A-A2988BD8914B}" name="Karen Comment ﾂ" dataDxfId="356" dataCellStyle="Hyperlink"/>
    <tableColumn id="15" xr3:uid="{6C9F6AD3-70B7-4E44-BE1D-E5A4D43660C4}" name="Sale Status_x0009_" dataDxfId="355"/>
    <tableColumn id="26" xr3:uid="{35CD751B-5BFF-48F1-87FF-F8200F5E8A2B}" name="Column1" dataDxfId="354"/>
    <tableColumn id="28" xr3:uid="{F46D2493-1A64-48D8-B79F-2D355FC0FF4D}" name="Invoice Month" dataDxfId="353">
      <calculatedColumnFormula xml:space="preserve"> IF(Z5 = "",
     "",
     TEXT(Z5, "mmmm"))</calculatedColumnFormula>
    </tableColumn>
    <tableColumn id="30" xr3:uid="{72B6C40D-0098-44F9-BC53-EA7267C6F60E}" name="Payment Method" dataDxfId="352"/>
    <tableColumn id="29" xr3:uid="{1E5C5FAC-27A2-4613-9B33-8FFA43611CC6}" name="Invoice Number" dataDxfId="351"/>
    <tableColumn id="16" xr3:uid="{1296669D-77FC-43B5-92C3-6AE701993037}" name="Invoice Date" dataDxfId="350"/>
    <tableColumn id="17" xr3:uid="{77747D49-5F80-458D-9D4B-74BBB1D5BA97}" name="NO Of  Open  days" dataDxfId="349">
      <calculatedColumnFormula>IF(H5="", "", IF(U5="Open Sale", IF(TODAY()-H5=0, "0 Days", TEXT(TODAY()-H5, "0") &amp; " Days"), IF(U5="Closed Sale", AA5, "")))</calculatedColumnFormula>
    </tableColumn>
    <tableColumn id="18" xr3:uid="{E3A884B7-A7A0-4E8A-8EFA-0970F0053ED7}" name="Pending days (timepieces)" dataDxfId="348">
      <calculatedColumnFormula>IF(H5="", "", IF(OR(U5="Pending", U5="Pending Allocation"), CONCATENATE(TODAY()-H5, " Days"), IF(U5="Closed", "", "")))</calculatedColumnFormula>
    </tableColumn>
    <tableColumn id="19" xr3:uid="{9539B43E-8721-4E10-924F-5C6BE41060B7}" name="NO of Pending Days" dataDxfId="347">
      <calculatedColumnFormula>IF(U5="Pending Allocation", IF(I5="", "", TODAY()-I5), "")</calculatedColumnFormula>
    </tableColumn>
    <tableColumn id="20" xr3:uid="{45AC59D2-E7F8-4108-AC34-0AB3B3BB4DD9}" name="NO Of  Open " dataDxfId="346">
      <calculatedColumnFormula>IF(U5="Open Sale", TEXT(TODAY()-I5, "0"),
   IF(U5="Pending", "",
      IF(U5="Closed Sale", "", "")))</calculatedColumnFormula>
    </tableColumn>
    <tableColumn id="21" xr3:uid="{898D3DC7-1422-40EA-9E35-F90D79F0D625}" name="Description" dataDxfId="345"/>
    <tableColumn id="22" xr3:uid="{7DE29B1C-8CAD-43D9-B9BA-778DEB11E170}" name="Timepiece Request Updates" dataDxfId="344"/>
    <tableColumn id="8" xr3:uid="{FA3C38B2-F161-49BF-95CB-43F75E554C07}" name="Client Request Updates" dataDxfId="343"/>
    <tableColumn id="23" xr3:uid="{4FF40DF4-F6CA-4805-A770-9EDBEF1ACAE6}" name="Transferred TO" dataDxfId="342"/>
    <tableColumn id="37" xr3:uid="{2CE7899E-C6CA-4AE9-BE6D-72EB51A4040E}" name="Captured date (Month and Year)" dataDxfId="341">
      <calculatedColumnFormula>TEXT(I5, "mmmm yyyy")</calculatedColumnFormula>
    </tableColumn>
    <tableColumn id="32" xr3:uid="{603F9FFD-D77D-48E8-9AE3-66ED50BDDFA8}" name="Month" dataDxfId="340">
      <calculatedColumnFormula>IF(AND(OpenPendingCases[[#This Row],[Sale Status	]]="Open Sale",OpenPendingCases[[#This Row],[Potential Same Month]]="High"),TEXT(OpenPendingCases[[#This Row],[Request Entry Date]], "[$-en-us]mmmm"),"")</calculatedColumnFormula>
    </tableColumn>
    <tableColumn id="34" xr3:uid="{9254BDBA-D32C-45D3-AD4C-7CECE961A1EC}" name="Adjusted Price" dataDxfId="339">
      <calculatedColumnFormula>IFERROR(VALUE(SUBSTITUTE(OpenPendingCases[[#This Row],[Price]]," AED","")),"")</calculatedColumnFormula>
    </tableColumn>
    <tableColumn id="35" xr3:uid="{ED7BE5ED-52E3-4166-B86F-5611EE73D894}" name="Adjusted Price2" dataDxfId="338">
      <calculatedColumnFormula>IFERROR(VALUE(LEFT(OpenPendingCases[[#This Row],[Price]],FIND(" ",OpenPendingCases[[#This Row],[Price]])-1)),"")</calculatedColumnFormula>
    </tableColumn>
    <tableColumn id="36" xr3:uid="{564E5F7F-66C9-4EE3-8E56-F075DF7A9A60}" name="Adjusted Price3" dataDxfId="337">
      <calculatedColumnFormula>IFERROR(VALUE(_xlfn.TEXTBEFORE(OpenPendingCases[[#This Row],[Price]]," AED")),"")</calculatedColumnFormula>
    </tableColumn>
    <tableColumn id="38" xr3:uid="{F0B64415-37E4-4B3C-BDE1-9816B2990309}" name="Adjusted Price4" dataDxfId="336"/>
  </tableColumns>
  <tableStyleInfo name="TableStyleLight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8E12576-98BA-4A4E-B2D0-26C84F8C14D3}" name="Table14" displayName="Table14" ref="A1:J510" totalsRowShown="0" headerRowDxfId="308" dataDxfId="306" headerRowBorderDxfId="307" tableBorderDxfId="305" totalsRowBorderDxfId="304">
  <autoFilter ref="A1:J510" xr:uid="{48E12576-98BA-4A4E-B2D0-26C84F8C14D3}"/>
  <tableColumns count="10">
    <tableColumn id="1" xr3:uid="{D4C6E6D8-5281-454C-9F4E-590EE99B9C51}" name="STATUS" dataDxfId="303"/>
    <tableColumn id="2" xr3:uid="{B5A371ED-5810-4200-AFE2-9D71CF594D25}" name="CLIENT FEEDBACK" dataDxfId="302"/>
    <tableColumn id="3" xr3:uid="{EE6F93F3-86FF-4BAE-A674-37B57872682E}" name="REQUEST DATE" dataDxfId="301"/>
    <tableColumn id="4" xr3:uid="{D3054BE8-1F46-41A6-99FA-792F004C4541}" name="REFERENCE" dataDxfId="300"/>
    <tableColumn id="5" xr3:uid="{4F41974C-670A-4B54-9075-5E99480BAB5F}" name="BOUTIQUE" dataDxfId="299"/>
    <tableColumn id="6" xr3:uid="{BB5AE423-F706-464E-89A9-06FB25E106DB}" name="CLIENT ID" dataDxfId="298"/>
    <tableColumn id="7" xr3:uid="{F871ED81-0AC5-4031-AEB2-24004BCD58F0}" name="CLIENT SEGMENT" dataDxfId="297"/>
    <tableColumn id="8" xr3:uid="{F2DC8E8E-52EA-4D16-B3DA-284016E8B0D3}" name="SALES ASSOCIATE" dataDxfId="296"/>
    <tableColumn id="9" xr3:uid="{7CF93A15-F3E5-4907-82FB-AC48F43F1D5D}" name="COMMENTS" dataDxfId="295"/>
    <tableColumn id="10" xr3:uid="{5360BE37-25A2-473B-B938-8C7B8C9C0F66}" name="Avaliblity" dataDxfId="294"/>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93A1C99-D798-447C-B1E6-4100FC0C9607}" name="Table6" displayName="Table6" ref="O39:W99" totalsRowShown="0" headerRowDxfId="58" dataDxfId="57" tableBorderDxfId="56">
  <autoFilter ref="O39:W99" xr:uid="{A93A1C99-D798-447C-B1E6-4100FC0C9607}"/>
  <tableColumns count="9">
    <tableColumn id="1" xr3:uid="{D247E329-EA06-410D-B060-11B0A06A38CE}" name="CRC Name" dataDxfId="55">
      <calculatedColumnFormula>IFERROR(IF(VLOOKUP(ROWS($O$39:$O39), 'SelloutPlan v1Main'!$D$5:$AC$499, 12, FALSE)="Open", VLOOKUP(ROWS($O$39:$O39), 'SelloutPlan v1Main'!$D$5:$AC$499, 3, FALSE), ""), "")</calculatedColumnFormula>
    </tableColumn>
    <tableColumn id="2" xr3:uid="{0BF65A2A-2D8F-41E1-A4C8-46FF607D3B58}" name="Collection Name" dataDxfId="54">
      <calculatedColumnFormula>IFERROR(VLOOKUP(ROWS($O$39:U39),'SelloutPlan v1Main'!$E$5:$AC$208,12,FALSE),"")</calculatedColumnFormula>
    </tableColumn>
    <tableColumn id="3" xr3:uid="{D6D0A7F3-560C-4ADE-AF4D-691914CE6885}" name="Price" dataDxfId="53"/>
    <tableColumn id="4" xr3:uid="{5B620436-229A-4C8A-A67C-D3F974849079}" name="Stock " dataDxfId="52">
      <calculatedColumnFormula>IFERROR(VLOOKUP(ROWS($O$39:U39),'SelloutPlan v1Main'!$E$5:$AC$208,5,FALSE),"")</calculatedColumnFormula>
    </tableColumn>
    <tableColumn id="5" xr3:uid="{A6DE5FD8-157F-4651-AE83-D5F22A3ABFE3}" name="Timepiece Ref" dataDxfId="51">
      <calculatedColumnFormula>IFERROR(VLOOKUP(ROWS($O$39:S39), 'SelloutPlan v1Main'!$E$5:$AC$208, 14, FALSE), "")</calculatedColumnFormula>
    </tableColumn>
    <tableColumn id="6" xr3:uid="{B6DFC80B-AE76-4628-B658-DBCE316E897D}" name="Transaction Market" dataDxfId="50">
      <calculatedColumnFormula>IFERROR(VLOOKUP(ROWS($O$39:T39), 'SelloutPlan v1Main'!$E$5:$AC$208, 14, FALSE), "")</calculatedColumnFormula>
    </tableColumn>
    <tableColumn id="7" xr3:uid="{E7605175-C224-47CA-91C6-73AD1EFC9F19}" name="Karen Comment ﾂ" dataDxfId="49">
      <calculatedColumnFormula>IFERROR(VLOOKUP(ROWS($O$39:U39),'SelloutPlan v1Main'!$E$5:$AC$208,16,FALSE),"")</calculatedColumnFormula>
    </tableColumn>
    <tableColumn id="8" xr3:uid="{6754F5B5-BBB1-45BB-A13B-BF29909DE80D}" name="Payment Method" dataDxfId="48">
      <calculatedColumnFormula>IFERROR(IF(_xlfn.XLOOKUP(ROWS($O$39:W40), 'SelloutPlan v1Main'!$E$5:$E$208, 'SelloutPlan v1Main'!$X$5:$X$208) = 0, "", _xlfn.XLOOKUP(ROWS($O$39:W40), 'SelloutPlan v1Main'!$E$5:$E$208, 'SelloutPlan v1Main'!$X$5:$X$208)), "")</calculatedColumnFormula>
    </tableColumn>
    <tableColumn id="9" xr3:uid="{4FC6738A-7589-4E67-8856-114C38232E50}" name="Waiting Days" dataDxfId="47">
      <calculatedColumnFormula>IFERROR(IF(VLOOKUP(ROWS($O$39:X39), 'SelloutPlan v1Main'!$E$5:$AP$209, 25, FALSE) = 0, "", VLOOKUP(ROWS($O$39:X39), 'SelloutPlan v1Main'!$E$5:$AP$209, 25, FALSE)),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1044289-012B-49CC-8C63-14E68AA4DD4A}" name="Table7" displayName="Table7" ref="B39:L133" totalsRowShown="0" headerRowDxfId="46" dataDxfId="45">
  <autoFilter ref="B39:L133" xr:uid="{C1044289-012B-49CC-8C63-14E68AA4DD4A}"/>
  <tableColumns count="11">
    <tableColumn id="1" xr3:uid="{5D653D26-C267-42B4-ADBB-45FEBB29A7EF}" name="No." dataDxfId="44"/>
    <tableColumn id="2" xr3:uid="{6AEB27BF-5A29-440F-85AA-040F1A98C72A}" name="Timepiece Ref" dataDxfId="43"/>
    <tableColumn id="3" xr3:uid="{44337DCB-0B4C-4DD6-8F42-282D535B6E26}" name="Transaction Market" dataDxfId="42"/>
    <tableColumn id="4" xr3:uid="{575D5490-D483-41DF-B57F-514BD3F6F0D4}" name="Status " dataDxfId="41"/>
    <tableColumn id="5" xr3:uid="{16B7CD85-3059-48B9-BA52-0B7F55B3DDD0}" name="Stock Location" dataDxfId="40"/>
    <tableColumn id="6" xr3:uid="{6B12E632-AFBD-4EB4-9036-55122E12F53E}" name="Client ID" dataDxfId="39">
      <calculatedColumnFormula>IFERROR(VLOOKUP(ROWS($C$39:G39), 'SelloutPlan v1Main'!$D$5:$AC$208,16, FALSE), "")</calculatedColumnFormula>
    </tableColumn>
    <tableColumn id="7" xr3:uid="{EDA0AB12-7206-47A5-9FFA-9C86D2442E86}" name="Karen Comment ﾂ" dataDxfId="38"/>
    <tableColumn id="8" xr3:uid="{51C5602D-F4FD-4F47-B379-D8737D4DAA67}" name="CRC Name" dataDxfId="37"/>
    <tableColumn id="9" xr3:uid="{11A22CC8-1D6F-4E7F-839E-AC2733913A7D}" name="Same Month Invoiced rate"/>
    <tableColumn id="10" xr3:uid="{C7D8D286-0630-42F5-917C-128AA2E53558}" name="Price" dataDxfId="36">
      <calculatedColumnFormula>IFERROR(VLOOKUP(ROWS($C$39:J39), 'SelloutPlan v1Main'!$D$5:$AC$208,14, FALSE), "")</calculatedColumnFormula>
    </tableColumn>
    <tableColumn id="11" xr3:uid="{EB1DAF1B-9E24-4725-8A95-6721CA3D4986}" name="Payment Method " dataDxfId="35"/>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9F99ABA-15E9-401E-B94B-4408396E9B0A}" name="Table5" displayName="Table5" ref="A1:M478" totalsRowShown="0" headerRowDxfId="34" dataDxfId="32" headerRowBorderDxfId="33" tableBorderDxfId="31">
  <autoFilter ref="A1:M478" xr:uid="{A9F99ABA-15E9-401E-B94B-4408396E9B0A}"/>
  <tableColumns count="13">
    <tableColumn id="1" xr3:uid="{8ECA188D-58C0-4C54-9066-7361B135BA88}" name="STATUS" dataDxfId="30"/>
    <tableColumn id="2" xr3:uid="{9921072B-CE6C-442C-8441-D2D62FFAD8AA}" name="CLIENT FEEDBACK" dataDxfId="29"/>
    <tableColumn id="3" xr3:uid="{F4142591-A895-4233-A034-2D7D386B5AD4}" name="REQUEST DATE" dataDxfId="28"/>
    <tableColumn id="4" xr3:uid="{9E084FF7-6E52-4188-A5A4-ACD954F6E46E}" name="REFERENCE" dataDxfId="27"/>
    <tableColumn id="11" xr3:uid="{7DE18B69-3308-4345-A9A6-1DD0B06268D3}" name="Collection Name" dataDxfId="26">
      <calculatedColumnFormula>IFERROR(VLOOKUP(TRIM(D2), Collection!$B$2:$D$1001, 2, FALSE), "")</calculatedColumnFormula>
    </tableColumn>
    <tableColumn id="13" xr3:uid="{29F98CC2-7EF6-49FF-BA44-12490C623465}" name="Price" dataDxfId="25">
      <calculatedColumnFormula>IFERROR(VLOOKUP(TRIM(D2), Collection!$B$2:$D$1001, 3, FALSE), "")</calculatedColumnFormula>
    </tableColumn>
    <tableColumn id="14" xr3:uid="{279C7181-137A-45C1-86EB-51D23152ECBE}" name="Price 2 " dataDxfId="24">
      <calculatedColumnFormula>IFERROR(VALUE(SUBSTITUTE(SUBSTITUTE(F2, "Price", ""), "AED", "")), "")</calculatedColumnFormula>
    </tableColumn>
    <tableColumn id="5" xr3:uid="{63385E8D-0120-4616-8F3B-97858B5F065D}" name="BOUTIQUE" dataDxfId="23"/>
    <tableColumn id="6" xr3:uid="{FC18507D-8194-4B68-AE0D-D7ED3F61B3BE}" name="CLIENT ID" dataDxfId="22"/>
    <tableColumn id="7" xr3:uid="{5A94D4E3-FEAE-4147-890A-B2C227734CBB}" name="CLIENT SEGMENT" dataDxfId="21"/>
    <tableColumn id="8" xr3:uid="{E6AE2455-E3E6-4FD9-BEEA-3ABBB4E96D05}" name="SALES ASSOCIATE" dataDxfId="20"/>
    <tableColumn id="9" xr3:uid="{53C266B9-4B9B-4F97-ABB9-FAB2B6C6F5EA}" name="COMMENTS" dataDxfId="19"/>
    <tableColumn id="10" xr3:uid="{89D61F14-D942-498C-82B9-EB49FF0336F4}" name="Avalible?" dataDxfId="18">
      <calculatedColumnFormula>IF(COUNTIF($R$3:$R$100, D2) &gt; 0, TRUE, FALSE)</calculatedColumnFormula>
    </tableColumn>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145C5D-B002-44D1-8C5F-746C6D2EAC18}" name="Table1" displayName="Table1" ref="A1:G333" totalsRowShown="0" headerRowDxfId="16" headerRowBorderDxfId="15" tableBorderDxfId="14" totalsRowBorderDxfId="13">
  <autoFilter ref="A1:G333" xr:uid="{2B145C5D-B002-44D1-8C5F-746C6D2EAC18}"/>
  <tableColumns count="7">
    <tableColumn id="1" xr3:uid="{58EC0A08-1D65-4920-A901-B3C6A7B0B4A1}" name="Ref" dataDxfId="12"/>
    <tableColumn id="2" xr3:uid="{2BDAB78D-9560-4E9F-A288-B9B47CC86BDE}" name="Timepiece Reference " dataDxfId="11"/>
    <tableColumn id="3" xr3:uid="{CD1E4945-AEE9-4812-A99F-AA756B7524DE}" name="Collection name " dataDxfId="10"/>
    <tableColumn id="4" xr3:uid="{6C6A984E-2060-4CD6-B393-42632D9B9CC1}" name="Price" dataDxfId="9"/>
    <tableColumn id="5" xr3:uid="{0215F344-4D98-4BAB-A082-D1422BA9F0BC}" name="CRC STOCK" dataDxfId="8">
      <calculatedColumnFormula>IF(F2, "YES", "No")</calculatedColumnFormula>
    </tableColumn>
    <tableColumn id="6" xr3:uid="{2DDB26FE-5E6A-43E6-B207-B47E4C127D78}" name="Available" dataDxfId="7"/>
    <tableColumn id="7" xr3:uid="{8F987FA8-844A-487E-8593-3507A6D0CE67}" name="Helper " dataDxfId="6">
      <calculatedColumnFormula>IF(COUNTIF($J$3:$J$100, B2) &gt; 0, TRUE, FALSE)</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Standard Colors 1">
      <a:dk1>
        <a:sysClr val="windowText" lastClr="000000"/>
      </a:dk1>
      <a:lt1>
        <a:sysClr val="window" lastClr="FFFFFF"/>
      </a:lt1>
      <a:dk2>
        <a:srgbClr val="1F497D"/>
      </a:dk2>
      <a:lt2>
        <a:srgbClr val="EEECE1"/>
      </a:lt2>
      <a:accent1>
        <a:srgbClr val="4F81BD"/>
      </a:accent1>
      <a:accent2>
        <a:srgbClr val="F8696B"/>
      </a:accent2>
      <a:accent3>
        <a:srgbClr val="63BE7B"/>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4" dT="2025-04-29T08:00:44.50" personId="{B30CC94F-FCD8-4228-83F9-E2B58EE29E15}" id="{AABE6324-ECBE-49A5-A7B7-B9B5DC469326}">
    <text xml:space="preserve">The Location of the Piece </text>
  </threadedComment>
  <threadedComment ref="K4" dT="2025-04-29T08:01:15.27" personId="{B30CC94F-FCD8-4228-83F9-E2B58EE29E15}" id="{ABD9861F-6E8C-4E45-8B74-9F28D127E512}">
    <text>The location of the Sale ( if the sell was made BTQ or E-com)</text>
  </threadedComment>
  <threadedComment ref="L4" dT="2025-04-29T08:01:42.04" personId="{B30CC94F-FCD8-4228-83F9-E2B58EE29E15}" id="{52A64CFC-A52D-4A1E-BD68-D5120C23704F}">
    <text xml:space="preserve">Important </text>
  </threadedComment>
  <threadedComment ref="M4" dT="2025-04-22T08:49:03.13" personId="{B30CC94F-FCD8-4228-83F9-E2B58EE29E15}" id="{10EE8E62-B68F-4610-A194-B214B704BB4A}">
    <text>Select High only incase the timpiease is available and the client will do the payment</text>
  </threadedComment>
  <threadedComment ref="U4" dT="2025-03-28T10:32:32.72" personId="{9324CC04-0B53-4853-B346-ABF51C86976A}" id="{89B5EB77-E399-41CB-99AE-3DBDFFFE5BBD}">
    <text xml:space="preserve">Open Means : still in communications  with Client but the watch is available </text>
  </threadedComment>
  <threadedComment ref="U4" dT="2025-03-28T10:34:13.16" personId="{9324CC04-0B53-4853-B346-ABF51C86976A}" id="{D1CE569F-99A7-48B7-88BF-ABA34E6C5460}" parentId="{89B5EB77-E399-41CB-99AE-3DBDFFFE5BBD}">
    <text>Pending means: we still waiting for the timepiece to be reallocated or still the request under review</text>
  </threadedComment>
  <threadedComment ref="AI4" dT="2025-04-16T11:40:59.55" personId="{D91FCFCF-1D54-49F9-B4F8-B0AB65C2E1F3}" id="{A369D8B3-6EE5-4947-8317-983E7511F180}">
    <text xml:space="preserve">This is date of entry </text>
  </threadedComment>
  <threadedComment ref="AJ4" dT="2025-04-16T11:41:24.57" personId="{D91FCFCF-1D54-49F9-B4F8-B0AB65C2E1F3}" id="{DF38E823-47AC-4A1D-AD49-F259A042E2A5}">
    <text>This is only for the high potential sales only</text>
  </threadedComment>
  <threadedComment ref="M5" dT="2025-04-29T07:42:26.34" personId="{63B90C39-6E38-47BB-82ED-BB3353C40DE7}" id="{76AF0A22-3D89-49F5-8A1B-A72C5B6E2DBC}">
    <text>end of May</text>
  </threadedComment>
  <threadedComment ref="AG15" dT="2025-04-08T11:55:08.70" personId="{B30CC94F-FCD8-4228-83F9-E2B58EE29E15}" id="{92FAED17-1C5D-4E09-914B-2C4C63EF09C7}">
    <text xml:space="preserve">4/8/2025
</text>
  </threadedComment>
</ThreadedComments>
</file>

<file path=xl/threadedComments/threadedComment2.xml><?xml version="1.0" encoding="utf-8"?>
<ThreadedComments xmlns="http://schemas.microsoft.com/office/spreadsheetml/2018/threadedcomments" xmlns:x="http://schemas.openxmlformats.org/spreadsheetml/2006/main">
  <threadedComment ref="L2" dT="2025-06-11T10:40:36.75" personId="{B30CC94F-FCD8-4228-83F9-E2B58EE29E15}" id="{886921ED-C7A4-4508-AC1B-96CA8D6BDB6E}">
    <text xml:space="preserve">Double check  the QTY per Ref - Sap , BTQ. </text>
  </threadedComment>
</ThreadedComments>
</file>

<file path=xl/webextensions/_rels/taskpanes.xml.rels><?xml version="1.0" encoding="UTF-8" standalone="yes"?>
<Relationships xmlns="http://schemas.openxmlformats.org/package/2006/relationships"><Relationship Id="rId8" Type="http://schemas.microsoft.com/office/2011/relationships/webextension" Target="webextension8.xml"/><Relationship Id="rId3" Type="http://schemas.microsoft.com/office/2011/relationships/webextension" Target="webextension3.xml"/><Relationship Id="rId7" Type="http://schemas.microsoft.com/office/2011/relationships/webextension" Target="webextension7.xml"/><Relationship Id="rId2" Type="http://schemas.microsoft.com/office/2011/relationships/webextension" Target="webextension2.xml"/><Relationship Id="rId1" Type="http://schemas.microsoft.com/office/2011/relationships/webextension" Target="webextension1.xml"/><Relationship Id="rId6" Type="http://schemas.microsoft.com/office/2011/relationships/webextension" Target="webextension6.xml"/><Relationship Id="rId5" Type="http://schemas.microsoft.com/office/2011/relationships/webextension" Target="webextension5.xml"/><Relationship Id="rId4" Type="http://schemas.microsoft.com/office/2011/relationships/webextension" Target="webextension4.xml"/></Relationships>
</file>

<file path=xl/webextensions/taskpanes.xml><?xml version="1.0" encoding="utf-8"?>
<wetp:taskpanes xmlns:wetp="http://schemas.microsoft.com/office/webextensions/taskpanes/2010/11">
  <wetp:taskpane dockstate="right" visibility="0" width="438" row="17">
    <wetp:webextensionref xmlns:r="http://schemas.openxmlformats.org/officeDocument/2006/relationships" r:id="rId1"/>
  </wetp:taskpane>
  <wetp:taskpane dockstate="right" visibility="0" width="438" row="18">
    <wetp:webextensionref xmlns:r="http://schemas.openxmlformats.org/officeDocument/2006/relationships" r:id="rId2"/>
  </wetp:taskpane>
  <wetp:taskpane dockstate="right" visibility="0" width="438" row="19">
    <wetp:webextensionref xmlns:r="http://schemas.openxmlformats.org/officeDocument/2006/relationships" r:id="rId3"/>
  </wetp:taskpane>
  <wetp:taskpane dockstate="right" visibility="0" width="438" row="14">
    <wetp:webextensionref xmlns:r="http://schemas.openxmlformats.org/officeDocument/2006/relationships" r:id="rId4"/>
  </wetp:taskpane>
  <wetp:taskpane dockstate="right" visibility="0" width="438" row="16">
    <wetp:webextensionref xmlns:r="http://schemas.openxmlformats.org/officeDocument/2006/relationships" r:id="rId5"/>
  </wetp:taskpane>
  <wetp:taskpane dockstate="right" visibility="0" width="350" row="14">
    <wetp:webextensionref xmlns:r="http://schemas.openxmlformats.org/officeDocument/2006/relationships" r:id="rId6"/>
  </wetp:taskpane>
  <wetp:taskpane dockstate="right" visibility="0" width="350" row="13">
    <wetp:webextensionref xmlns:r="http://schemas.openxmlformats.org/officeDocument/2006/relationships" r:id="rId7"/>
  </wetp:taskpane>
  <wetp:taskpane dockstate="right" visibility="0" width="350" row="12">
    <wetp:webextensionref xmlns:r="http://schemas.openxmlformats.org/officeDocument/2006/relationships" r:id="rId8"/>
  </wetp:taskpane>
</wetp:taskpanes>
</file>

<file path=xl/webextensions/webextension1.xml><?xml version="1.0" encoding="utf-8"?>
<we:webextension xmlns:we="http://schemas.microsoft.com/office/webextensions/webextension/2010/11" id="{59DDE56B-C1F6-431B-82BD-9BF3BD1E6796}">
  <we:reference id="wa200005502" version="1.0.0.11" store="en-US" storeType="OMEX"/>
  <we:alternateReferences>
    <we:reference id="WA200005502" version="1.0.0.11" store="" storeType="OMEX"/>
  </we:alternateReferences>
  <we:properties>
    <we:property name="docId" value="&quot;ci1EeB2dB9rr3aXhQm9b2&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ebextensions/webextension2.xml><?xml version="1.0" encoding="utf-8"?>
<we:webextension xmlns:we="http://schemas.microsoft.com/office/webextensions/webextension/2010/11" id="{248417F2-D57F-439E-AF7B-B0E73F6BE036}">
  <we:reference id="wa200005271" version="2.5.5.0" store="en-US" storeType="OMEX"/>
  <we:alternateReferences>
    <we:reference id="WA200005271" version="2.5.5.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ebextensions/webextension3.xml><?xml version="1.0" encoding="utf-8"?>
<we:webextension xmlns:we="http://schemas.microsoft.com/office/webextensions/webextension/2010/11" id="{0403B37E-96C6-4830-9499-38E62AE17A19}">
  <we:reference id="wa200004935" version="6.0.0.0" store="en-US" storeType="OMEX"/>
  <we:alternateReferences>
    <we:reference id="WA200004935" version="6.0.0.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_xldudf_FORMULABOT_CLASSIFY</we:customFunctionIds>
        <we:customFunctionIds>_xldudf_FORMULABOT_EXTRACT</we:customFunctionIds>
        <we:customFunctionIds>_xldudf_FORMULABOT_SENTIMENT</we:customFunctionIds>
        <we:customFunctionIds>_xldudf_FORMULABOT_INFO</we:customFunctionIds>
        <we:customFunctionIds>_xldudf_FORMULABOT_FREEFORM</we:customFunctionIds>
        <we:customFunctionIds>_xldudf_FORMULABOT_INFER</we:customFunctionIds>
      </we:customFunctionIdList>
    </a:ext>
  </we:extLst>
</we:webextension>
</file>

<file path=xl/webextensions/webextension4.xml><?xml version="1.0" encoding="utf-8"?>
<we:webextension xmlns:we="http://schemas.microsoft.com/office/webextensions/webextension/2010/11" id="{861BEF29-EFB5-41C9-8CBB-DA312F3D8C28}">
  <we:reference id="wa200005429" version="1.0.0.0" store="en-US" storeType="OMEX"/>
  <we:alternateReferences>
    <we:reference id="WA200005429" version="1.0.0.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_xldudf_FI_GENERATE</we:customFunctionIds>
        <we:customFunctionIds>_xldudf_FI_EXPLAIN</we:customFunctionIds>
        <we:customFunctionIds>_xldudf_FI_SUMMARIZE</we:customFunctionIds>
        <we:customFunctionIds>_xldudf_FI_LOOKUP</we:customFunctionIds>
        <we:customFunctionIds>_xldudf_FI_FINDDUPLICATES</we:customFunctionIds>
        <we:customFunctionIds>_xldudf_FI_TRANSLATE</we:customFunctionIds>
      </we:customFunctionIdList>
    </a:ext>
  </we:extLst>
</we:webextension>
</file>

<file path=xl/webextensions/webextension5.xml><?xml version="1.0" encoding="utf-8"?>
<we:webextension xmlns:we="http://schemas.microsoft.com/office/webextensions/webextension/2010/11" id="{AC1CFBDA-AB5D-42F1-83E7-AFFE59868207}">
  <we:reference id="wa200005669" version="2.0.0.0" store="en-US" storeType="OMEX"/>
  <we:alternateReferences>
    <we:reference id="wa200005669" version="2.0.0.0" store="wa200005669"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ebextensions/webextension6.xml><?xml version="1.0" encoding="utf-8"?>
<we:webextension xmlns:we="http://schemas.microsoft.com/office/webextensions/webextension/2010/11" id="{BF2E74DD-4B5D-40EF-BD0A-6536997CD282}">
  <we:reference id="wa200005171" version="1.0.0.0" store="en-US" storeType="OMEX"/>
  <we:alternateReferences>
    <we:reference id="wa200005171" version="1.0.0.0" store="wa2000051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_xldudf_GPT_GPTINTERACT</we:customFunctionIds>
        <we:customFunctionIds>_xldudf_GPT_GPTPROMPT</we:customFunctionIds>
        <we:customFunctionIds>_xldudf_GPT_GPTPREDICT</we:customFunctionIds>
      </we:customFunctionIdList>
    </a:ext>
  </we:extLst>
</we:webextension>
</file>

<file path=xl/webextensions/webextension7.xml><?xml version="1.0" encoding="utf-8"?>
<we:webextension xmlns:we="http://schemas.microsoft.com/office/webextensions/webextension/2010/11" id="{EDE18D19-7124-4FA5-99E5-A46DCDE731E4}">
  <we:reference id="wa200005107" version="1.1.0.0" store="en-US" storeType="OMEX"/>
  <we:alternateReferences>
    <we:reference id="WA200005107" version="1.1.0.0" store=""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ebextensions/webextension8.xml><?xml version="1.0" encoding="utf-8"?>
<we:webextension xmlns:we="http://schemas.microsoft.com/office/webextensions/webextension/2010/11" id="{BEB66F6D-AD04-41E2-A1C3-E1749A1917A8}">
  <we:reference id="wa200001584" version="3.0.3.6" store="en-US" storeType="OMEX"/>
  <we:alternateReferences>
    <we:reference id="wa200001584" version="3.0.3.6" store="wa200001584" storeType="OMEX"/>
  </we:alternateReferences>
  <we:properties/>
  <we:bindings>
    <we:binding id="anID" type="matrix" appref="{AD0F7A67-E6EF-413B-97CE-25CC01A38899}"/>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6.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A2501-EA57-4F40-8890-07A4C9E53C10}">
  <sheetPr codeName="Sheet7"/>
  <dimension ref="A1:F10"/>
  <sheetViews>
    <sheetView workbookViewId="0">
      <selection activeCell="E18" sqref="E18"/>
    </sheetView>
  </sheetViews>
  <sheetFormatPr defaultRowHeight="14.4" x14ac:dyDescent="0.3"/>
  <cols>
    <col min="1" max="1" width="20.44140625" bestFit="1" customWidth="1"/>
    <col min="2" max="2" width="26.5546875" bestFit="1" customWidth="1"/>
    <col min="3" max="3" width="25.5546875" bestFit="1" customWidth="1"/>
    <col min="4" max="4" width="13.109375" bestFit="1" customWidth="1"/>
    <col min="5" max="5" width="24.6640625" bestFit="1" customWidth="1"/>
    <col min="6" max="6" width="13.5546875" bestFit="1" customWidth="1"/>
    <col min="7" max="7" width="24.6640625" bestFit="1" customWidth="1"/>
    <col min="8" max="8" width="13.5546875" bestFit="1" customWidth="1"/>
    <col min="9" max="9" width="19.44140625" bestFit="1" customWidth="1"/>
    <col min="10" max="10" width="20" bestFit="1" customWidth="1"/>
    <col min="11" max="17" width="20.44140625" bestFit="1" customWidth="1"/>
    <col min="18" max="18" width="11" bestFit="1" customWidth="1"/>
  </cols>
  <sheetData>
    <row r="1" spans="1:6" x14ac:dyDescent="0.3">
      <c r="A1" s="23" t="s">
        <v>0</v>
      </c>
      <c r="B1" s="4" t="s">
        <v>1</v>
      </c>
    </row>
    <row r="2" spans="1:6" x14ac:dyDescent="0.3">
      <c r="A2" s="23" t="s">
        <v>2</v>
      </c>
      <c r="B2" s="4" t="s">
        <v>3</v>
      </c>
    </row>
    <row r="4" spans="1:6" x14ac:dyDescent="0.3">
      <c r="A4" s="4"/>
      <c r="B4" s="4"/>
      <c r="C4" s="106" t="s">
        <v>4</v>
      </c>
      <c r="D4" s="106" t="s">
        <v>5</v>
      </c>
      <c r="E4" s="4"/>
      <c r="F4" s="4"/>
    </row>
    <row r="5" spans="1:6" x14ac:dyDescent="0.3">
      <c r="A5" s="4"/>
      <c r="B5" s="4"/>
      <c r="C5" s="4" t="s">
        <v>6</v>
      </c>
      <c r="D5" s="4"/>
      <c r="E5" s="4" t="s">
        <v>7</v>
      </c>
      <c r="F5" s="4" t="s">
        <v>8</v>
      </c>
    </row>
    <row r="6" spans="1:6" x14ac:dyDescent="0.3">
      <c r="A6" s="23" t="s">
        <v>9</v>
      </c>
      <c r="B6" s="23" t="s">
        <v>10</v>
      </c>
      <c r="C6" s="4" t="s">
        <v>11</v>
      </c>
      <c r="D6" s="4" t="s">
        <v>12</v>
      </c>
      <c r="E6" s="4"/>
      <c r="F6" s="4"/>
    </row>
    <row r="7" spans="1:6" x14ac:dyDescent="0.3">
      <c r="A7" s="105" t="s">
        <v>13</v>
      </c>
      <c r="B7" s="4" t="s">
        <v>14</v>
      </c>
      <c r="C7" s="103">
        <v>1</v>
      </c>
      <c r="D7" s="104">
        <v>62500</v>
      </c>
      <c r="E7" s="103">
        <v>1</v>
      </c>
      <c r="F7" s="104">
        <v>62500</v>
      </c>
    </row>
    <row r="8" spans="1:6" x14ac:dyDescent="0.3">
      <c r="A8" s="105" t="s">
        <v>15</v>
      </c>
      <c r="B8" s="4" t="s">
        <v>16</v>
      </c>
      <c r="C8" s="103">
        <v>0</v>
      </c>
      <c r="D8" s="104">
        <v>135000</v>
      </c>
      <c r="E8" s="103">
        <v>0</v>
      </c>
      <c r="F8" s="103">
        <v>135000</v>
      </c>
    </row>
    <row r="9" spans="1:6" x14ac:dyDescent="0.3">
      <c r="A9" s="105" t="s">
        <v>17</v>
      </c>
      <c r="B9" s="4" t="s">
        <v>14</v>
      </c>
      <c r="C9" s="103">
        <v>0</v>
      </c>
      <c r="D9" s="104">
        <v>62500</v>
      </c>
      <c r="E9" s="103">
        <v>0</v>
      </c>
      <c r="F9" s="104">
        <v>62500</v>
      </c>
    </row>
    <row r="10" spans="1:6" x14ac:dyDescent="0.3">
      <c r="A10" s="103" t="s">
        <v>18</v>
      </c>
      <c r="B10" s="103"/>
      <c r="C10" s="103">
        <v>1</v>
      </c>
      <c r="D10" s="104">
        <v>260000</v>
      </c>
      <c r="E10" s="222">
        <v>1</v>
      </c>
      <c r="F10" s="104">
        <v>260000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tint="-0.249977111117893"/>
  </sheetPr>
  <dimension ref="B1:AZ978"/>
  <sheetViews>
    <sheetView showGridLines="0" tabSelected="1" topLeftCell="B1" zoomScale="55" zoomScaleNormal="55" zoomScaleSheetLayoutView="62" workbookViewId="0">
      <pane xSplit="11" ySplit="4" topLeftCell="M5" activePane="bottomRight" state="frozen"/>
      <selection pane="topRight"/>
      <selection pane="bottomLeft"/>
      <selection pane="bottomRight" activeCell="M570" sqref="M570"/>
    </sheetView>
  </sheetViews>
  <sheetFormatPr defaultColWidth="17.6640625" defaultRowHeight="16.5" customHeight="1" x14ac:dyDescent="0.3"/>
  <cols>
    <col min="1" max="1" width="17.6640625" style="1"/>
    <col min="2" max="2" width="0" style="1" hidden="1" customWidth="1"/>
    <col min="3" max="3" width="8.109375" style="1" bestFit="1" customWidth="1"/>
    <col min="4" max="5" width="17.6640625" style="1" hidden="1" customWidth="1"/>
    <col min="6" max="6" width="17.6640625" style="1"/>
    <col min="7" max="7" width="26.109375" style="1" customWidth="1"/>
    <col min="8" max="8" width="20.109375" style="3" customWidth="1"/>
    <col min="9" max="9" width="35.5546875" style="3" bestFit="1" customWidth="1"/>
    <col min="10" max="10" width="29.109375" style="3" bestFit="1" customWidth="1"/>
    <col min="11" max="11" width="35.6640625" style="3" bestFit="1" customWidth="1"/>
    <col min="12" max="12" width="20" style="139" bestFit="1" customWidth="1"/>
    <col min="13" max="13" width="35.5546875" style="147" customWidth="1"/>
    <col min="14" max="14" width="26.5546875" style="139" customWidth="1"/>
    <col min="15" max="15" width="28.109375" style="2" customWidth="1"/>
    <col min="16" max="16" width="58.6640625" style="2" bestFit="1" customWidth="1"/>
    <col min="17" max="17" width="17.6640625" style="3"/>
    <col min="18" max="18" width="17.6640625" style="3" hidden="1" customWidth="1"/>
    <col min="19" max="19" width="17.6640625" style="12"/>
    <col min="20" max="20" width="33.44140625" style="121" customWidth="1"/>
    <col min="21" max="22" width="31.88671875" customWidth="1"/>
    <col min="23" max="23" width="17.6640625" style="3"/>
    <col min="24" max="24" width="52" style="2" customWidth="1"/>
    <col min="25" max="25" width="43.6640625" style="2" customWidth="1"/>
    <col min="26" max="26" width="21.33203125" style="2" customWidth="1"/>
    <col min="27" max="28" width="17.6640625" style="3" hidden="1" customWidth="1"/>
    <col min="29" max="29" width="17.6640625" style="35" hidden="1" customWidth="1"/>
    <col min="30" max="30" width="17.6640625" style="3" hidden="1" customWidth="1"/>
    <col min="31" max="31" width="61" style="2" customWidth="1"/>
    <col min="32" max="32" width="120.44140625" style="2" bestFit="1" customWidth="1"/>
    <col min="33" max="33" width="26.5546875" style="2" customWidth="1"/>
    <col min="34" max="34" width="17.6640625" style="2"/>
    <col min="35" max="35" width="17.6640625" style="2" hidden="1" customWidth="1"/>
    <col min="36" max="36" width="17.6640625" style="41" hidden="1" customWidth="1"/>
    <col min="37" max="39" width="0" style="1" hidden="1" customWidth="1"/>
    <col min="40" max="16384" width="17.6640625" style="1"/>
  </cols>
  <sheetData>
    <row r="1" spans="3:52" ht="20.25" customHeight="1" x14ac:dyDescent="0.3">
      <c r="C1" s="226" t="s">
        <v>19</v>
      </c>
      <c r="D1" s="226"/>
      <c r="E1" s="226"/>
      <c r="F1" s="226"/>
      <c r="G1" s="226"/>
      <c r="H1" s="226"/>
      <c r="I1" s="226"/>
      <c r="J1" s="226"/>
      <c r="K1" s="226"/>
      <c r="L1" s="226"/>
      <c r="M1" s="226"/>
      <c r="N1" s="226"/>
      <c r="O1" s="226"/>
      <c r="P1" s="226"/>
      <c r="Q1" s="226"/>
      <c r="R1" s="226"/>
      <c r="S1" s="226"/>
      <c r="T1" s="226"/>
      <c r="U1" s="226"/>
      <c r="V1" s="226"/>
      <c r="W1" s="226"/>
      <c r="X1" s="226"/>
      <c r="Y1" s="226"/>
      <c r="Z1" s="226"/>
      <c r="AA1" s="226"/>
      <c r="AB1" s="226"/>
      <c r="AC1" s="226"/>
      <c r="AD1" s="226"/>
      <c r="AE1" s="226"/>
      <c r="AF1" s="226"/>
      <c r="AG1" s="226"/>
      <c r="AH1" s="226"/>
      <c r="AI1" s="226"/>
      <c r="AJ1" s="226"/>
      <c r="AK1"/>
      <c r="AL1"/>
      <c r="AM1"/>
      <c r="AN1"/>
      <c r="AO1"/>
      <c r="AP1"/>
      <c r="AQ1"/>
      <c r="AR1"/>
      <c r="AS1"/>
      <c r="AT1"/>
      <c r="AU1"/>
      <c r="AV1"/>
      <c r="AW1"/>
      <c r="AX1"/>
      <c r="AY1"/>
      <c r="AZ1"/>
    </row>
    <row r="2" spans="3:52" ht="97.2" customHeight="1" x14ac:dyDescent="0.3">
      <c r="C2" s="226"/>
      <c r="D2" s="226"/>
      <c r="E2" s="226"/>
      <c r="F2" s="226"/>
      <c r="G2" s="226"/>
      <c r="H2" s="226"/>
      <c r="I2" s="226"/>
      <c r="J2" s="226"/>
      <c r="K2" s="226"/>
      <c r="L2" s="226"/>
      <c r="M2" s="226"/>
      <c r="N2" s="226"/>
      <c r="O2" s="226"/>
      <c r="P2" s="226"/>
      <c r="Q2" s="226"/>
      <c r="R2" s="226"/>
      <c r="S2" s="226"/>
      <c r="T2" s="226"/>
      <c r="U2" s="226"/>
      <c r="V2" s="226"/>
      <c r="W2" s="226"/>
      <c r="X2" s="226"/>
      <c r="Y2" s="226"/>
      <c r="Z2" s="226"/>
      <c r="AA2" s="226"/>
      <c r="AB2" s="226"/>
      <c r="AC2" s="226"/>
      <c r="AD2" s="226"/>
      <c r="AE2" s="226"/>
      <c r="AF2" s="226"/>
      <c r="AG2" s="226"/>
      <c r="AH2" s="226"/>
      <c r="AI2" s="226"/>
      <c r="AJ2" s="226"/>
      <c r="AK2"/>
      <c r="AL2"/>
      <c r="AM2"/>
      <c r="AN2"/>
      <c r="AO2"/>
      <c r="AP2"/>
      <c r="AQ2"/>
      <c r="AR2"/>
      <c r="AS2"/>
      <c r="AT2"/>
      <c r="AU2"/>
      <c r="AV2"/>
      <c r="AW2"/>
      <c r="AX2"/>
      <c r="AY2"/>
      <c r="AZ2"/>
    </row>
    <row r="3" spans="3:52" ht="13.8" hidden="1" x14ac:dyDescent="0.3">
      <c r="F3" s="1">
        <v>2</v>
      </c>
      <c r="H3" s="1">
        <v>3</v>
      </c>
      <c r="I3" s="1"/>
      <c r="J3" s="1">
        <v>4</v>
      </c>
      <c r="K3" s="1"/>
      <c r="L3" s="88">
        <v>5</v>
      </c>
      <c r="M3" s="32">
        <v>7</v>
      </c>
      <c r="N3" s="41">
        <v>8</v>
      </c>
      <c r="O3" s="41">
        <v>10</v>
      </c>
      <c r="P3" s="41">
        <v>11</v>
      </c>
      <c r="Q3" s="1">
        <v>12</v>
      </c>
      <c r="R3" s="1"/>
      <c r="S3" s="11">
        <v>13</v>
      </c>
      <c r="T3" s="120"/>
      <c r="U3" s="1">
        <v>14</v>
      </c>
      <c r="V3" s="1"/>
      <c r="W3" s="1"/>
      <c r="X3" s="41"/>
      <c r="Y3" s="41"/>
      <c r="Z3" s="41">
        <v>15</v>
      </c>
      <c r="AA3" s="1">
        <v>16</v>
      </c>
      <c r="AB3" s="1">
        <v>17</v>
      </c>
      <c r="AC3" s="33">
        <v>18</v>
      </c>
      <c r="AD3" s="1">
        <v>19</v>
      </c>
      <c r="AE3" s="41">
        <v>20</v>
      </c>
      <c r="AF3" s="41">
        <v>21</v>
      </c>
      <c r="AG3" s="41"/>
      <c r="AH3" s="41"/>
      <c r="AI3" s="41"/>
    </row>
    <row r="4" spans="3:52" ht="45" x14ac:dyDescent="0.3">
      <c r="C4" s="74" t="s">
        <v>20</v>
      </c>
      <c r="D4" s="21" t="s">
        <v>21</v>
      </c>
      <c r="E4" s="21" t="s">
        <v>22</v>
      </c>
      <c r="F4" s="75" t="s">
        <v>9</v>
      </c>
      <c r="G4" s="75" t="s">
        <v>23</v>
      </c>
      <c r="H4" s="75" t="s">
        <v>24</v>
      </c>
      <c r="I4" s="75" t="s">
        <v>25</v>
      </c>
      <c r="J4" s="78" t="s">
        <v>26</v>
      </c>
      <c r="K4" s="78" t="s">
        <v>4</v>
      </c>
      <c r="L4" s="89" t="s">
        <v>0</v>
      </c>
      <c r="M4" s="97" t="s">
        <v>2</v>
      </c>
      <c r="N4" s="76" t="s">
        <v>27</v>
      </c>
      <c r="O4" s="76" t="s">
        <v>10</v>
      </c>
      <c r="P4" s="76" t="s">
        <v>28</v>
      </c>
      <c r="Q4" s="75" t="s">
        <v>29</v>
      </c>
      <c r="R4" s="75" t="s">
        <v>30</v>
      </c>
      <c r="S4" s="77" t="s">
        <v>31</v>
      </c>
      <c r="T4" s="122" t="s">
        <v>32</v>
      </c>
      <c r="U4" s="78" t="s">
        <v>33</v>
      </c>
      <c r="V4" s="78" t="s">
        <v>34</v>
      </c>
      <c r="W4" s="75" t="s">
        <v>35</v>
      </c>
      <c r="X4" s="76" t="s">
        <v>36</v>
      </c>
      <c r="Y4" s="76" t="s">
        <v>37</v>
      </c>
      <c r="Z4" s="76" t="s">
        <v>38</v>
      </c>
      <c r="AA4" s="21" t="s">
        <v>39</v>
      </c>
      <c r="AB4" s="21" t="s">
        <v>40</v>
      </c>
      <c r="AC4" s="34" t="s">
        <v>41</v>
      </c>
      <c r="AD4" s="22" t="s">
        <v>42</v>
      </c>
      <c r="AE4" s="76" t="s">
        <v>43</v>
      </c>
      <c r="AF4" s="76" t="s">
        <v>44</v>
      </c>
      <c r="AG4" s="76" t="s">
        <v>45</v>
      </c>
      <c r="AH4" s="76" t="s">
        <v>46</v>
      </c>
      <c r="AI4" s="76" t="s">
        <v>47</v>
      </c>
      <c r="AJ4" s="76" t="s">
        <v>48</v>
      </c>
      <c r="AK4" s="21" t="s">
        <v>49</v>
      </c>
      <c r="AL4" s="21" t="s">
        <v>50</v>
      </c>
      <c r="AM4" s="21" t="s">
        <v>51</v>
      </c>
      <c r="AN4" s="21" t="s">
        <v>52</v>
      </c>
    </row>
    <row r="5" spans="3:52" ht="130.5" customHeight="1" x14ac:dyDescent="0.35">
      <c r="C5" s="148">
        <v>1</v>
      </c>
      <c r="D5" s="137">
        <f>IF($U5="Open Sale", IF(MAX($D$4:D4)+1=0, "", MAX($D$4:D4)+1), "")</f>
        <v>1</v>
      </c>
      <c r="E5" s="137" t="str">
        <f>IF($U5="Pending Allocation", IF(MAX($E$4:E4)+1=0, "", MAX($E$4:E4)+1), "")</f>
        <v/>
      </c>
      <c r="F5" s="134" t="s">
        <v>53</v>
      </c>
      <c r="G5" s="134"/>
      <c r="H5" s="149">
        <v>45563</v>
      </c>
      <c r="I5" s="150">
        <v>45679</v>
      </c>
      <c r="J5" s="68" t="str">
        <f>IF(OpenPendingCases[[#This Row],[Timepiece Reference ]]="", "", IF(_xlfn.XLOOKUP(OpenPendingCases[[#This Row],[Timepiece Reference ]], Table1[[Timepiece Reference ]], Table1[CRC STOCK], "Not Found")="YES", "CRC Stock", "Boutique Stock"))</f>
        <v>Boutique Stock</v>
      </c>
      <c r="K5" s="137" t="s">
        <v>6</v>
      </c>
      <c r="L5" s="140" t="s">
        <v>54</v>
      </c>
      <c r="M5" s="141" t="s">
        <v>3</v>
      </c>
      <c r="N5" s="137" t="s">
        <v>55</v>
      </c>
      <c r="O5" s="134" t="s">
        <v>56</v>
      </c>
      <c r="P5" s="94" t="str">
        <f>IFERROR(VLOOKUP(TRIM(O5), Collection!$B$2:$D$1001, 2, FALSE), "")</f>
        <v>Overseas dual time Blue</v>
      </c>
      <c r="Q5" s="190" t="str">
        <f>IFERROR(VLOOKUP(TRIM(O5), Collection!$B$2:$D$1001, 3, FALSE), "")</f>
        <v>117,000 AED</v>
      </c>
      <c r="R5" s="153">
        <f t="shared" ref="R5:R66" si="0">IFERROR(VALUE(SUBSTITUTE(SUBSTITUTE(Q5, "Price", ""), "AED", "")), "")</f>
        <v>117000</v>
      </c>
      <c r="S5" s="154">
        <v>101624260</v>
      </c>
      <c r="T5" s="155" t="s">
        <v>57</v>
      </c>
      <c r="U5" s="134" t="s">
        <v>58</v>
      </c>
      <c r="V5" s="134"/>
      <c r="W5" s="156" t="str">
        <f t="shared" ref="W5:W67" si="1" xml:space="preserve"> IF(Z5 = "",
     "",
     TEXT(Z5, "mmmm"))</f>
        <v/>
      </c>
      <c r="X5" s="157" t="s">
        <v>59</v>
      </c>
      <c r="Y5" s="158"/>
      <c r="Z5" s="158"/>
      <c r="AA5" s="159" t="str">
        <f ca="1">IF(H5="", "", IF(U5="Open Sale", IF(TODAY()-H5=0, "0 Days", TEXT(TODAY()-H5, "0") &amp; " Days"), IF(U5="Closed Sale", AA5, "")))</f>
        <v>354 Days</v>
      </c>
      <c r="AB5" s="159" t="str">
        <f t="shared" ref="AB5:AB66" ca="1" si="2">IF(H5="", "", IF(OR(U5="Pending", U5="Pending Allocation"), CONCATENATE(TODAY()-H5, " Days"), IF(U5="Closed", "", "")))</f>
        <v/>
      </c>
      <c r="AC5" s="160" t="str">
        <f t="shared" ref="AC5:AC66" ca="1" si="3">IF(U5="Pending Allocation", IF(I5="", "", TODAY()-I5), "")</f>
        <v/>
      </c>
      <c r="AD5" s="159" t="str">
        <f t="shared" ref="AD5:AD66" ca="1" si="4">IF(U5="Open Sale", TEXT(TODAY()-I5, "0"),
   IF(U5="Pending", "",
      IF(U5="Closed Sale", "", "")))</f>
        <v>238</v>
      </c>
      <c r="AE5" s="161" t="s">
        <v>60</v>
      </c>
      <c r="AF5" s="162" t="s">
        <v>61</v>
      </c>
      <c r="AG5" s="163" t="s">
        <v>62</v>
      </c>
      <c r="AH5" s="137"/>
      <c r="AI5" s="164" t="str">
        <f t="shared" ref="AI5:AI21" si="5">TEXT(I5, "mmmm yyyy")</f>
        <v>January 2025</v>
      </c>
      <c r="AJ5" s="164" t="str">
        <f>IF(AND(OpenPendingCases[[#This Row],[Sale Status	]]="Open Sale",OpenPendingCases[[#This Row],[Potential Same Month]]="High"),TEXT(OpenPendingCases[[#This Row],[Request Entry Date]], "[$-en-us]mmmm"),"")</f>
        <v>January</v>
      </c>
      <c r="AK5" s="165">
        <f>IFERROR(VALUE(SUBSTITUTE(OpenPendingCases[[#This Row],[Price]]," AED","")),"")</f>
        <v>117000</v>
      </c>
      <c r="AL5" s="165">
        <f>IFERROR(VALUE(LEFT(OpenPendingCases[[#This Row],[Price]],FIND(" ",OpenPendingCases[[#This Row],[Price]])-1)),"")</f>
        <v>117000</v>
      </c>
      <c r="AM5" s="165">
        <f>IFERROR(VALUE(_xlfn.TEXTBEFORE(OpenPendingCases[[#This Row],[Price]]," AED")),"")</f>
        <v>117000</v>
      </c>
      <c r="AN5" s="165"/>
      <c r="AS5" s="1" t="s">
        <v>58</v>
      </c>
      <c r="AU5" s="1" t="s">
        <v>63</v>
      </c>
      <c r="AV5" s="1" t="s">
        <v>64</v>
      </c>
      <c r="AW5" s="1" t="s">
        <v>65</v>
      </c>
      <c r="AX5" s="1" t="s">
        <v>66</v>
      </c>
    </row>
    <row r="6" spans="3:52" ht="130.5" hidden="1" customHeight="1" x14ac:dyDescent="0.35">
      <c r="C6" s="148">
        <v>2</v>
      </c>
      <c r="D6" s="137" t="str">
        <f>IF($U6="Open Sale", IF(MAX($D$4:D5)+1=0, "", MAX($D$4:D5)+1), "")</f>
        <v/>
      </c>
      <c r="E6" s="137" t="str">
        <f>IF($U6="Pending Allocation", IF(MAX($E$4:E5)+1=0, "", MAX($E$4:E5)+1), "")</f>
        <v/>
      </c>
      <c r="F6" s="134" t="s">
        <v>53</v>
      </c>
      <c r="G6" s="134"/>
      <c r="H6" s="149">
        <v>45574</v>
      </c>
      <c r="I6" s="150">
        <v>45682</v>
      </c>
      <c r="J6" s="68" t="str">
        <f>IF(OpenPendingCases[[#This Row],[Timepiece Reference ]]="", "", IF(_xlfn.XLOOKUP(OpenPendingCases[[#This Row],[Timepiece Reference ]], Table1[[Timepiece Reference ]], Table1[CRC STOCK], "Not Found")="YES", "CRC Stock", "Boutique Stock"))</f>
        <v>Boutique Stock</v>
      </c>
      <c r="K6" s="137" t="s">
        <v>6</v>
      </c>
      <c r="L6" s="140" t="s">
        <v>67</v>
      </c>
      <c r="M6" s="141" t="s">
        <v>3</v>
      </c>
      <c r="N6" s="137" t="s">
        <v>55</v>
      </c>
      <c r="O6" s="134" t="s">
        <v>68</v>
      </c>
      <c r="P6" s="94" t="str">
        <f>IFERROR(VLOOKUP(TRIM(O6), Collection!$B$2:$D$1001, 2, FALSE), "")</f>
        <v>Overseas chronograph</v>
      </c>
      <c r="Q6" s="190" t="str">
        <f>IFERROR(VLOOKUP(TRIM(O6), Collection!$B$2:$D$1001, 3, FALSE), "")</f>
        <v>135,000 AED</v>
      </c>
      <c r="R6" s="153">
        <f t="shared" si="0"/>
        <v>135000</v>
      </c>
      <c r="S6" s="154">
        <v>101424152</v>
      </c>
      <c r="T6" s="155" t="s">
        <v>57</v>
      </c>
      <c r="U6" s="137" t="s">
        <v>69</v>
      </c>
      <c r="V6" s="137"/>
      <c r="W6" s="156" t="str">
        <f t="shared" si="1"/>
        <v>April</v>
      </c>
      <c r="X6" s="157" t="s">
        <v>70</v>
      </c>
      <c r="Y6" s="161">
        <v>6100098091</v>
      </c>
      <c r="Z6" s="158">
        <v>45754</v>
      </c>
      <c r="AA6" s="159" t="str">
        <f t="shared" ref="AA6:AA67" ca="1" si="6">IF(H6="", "", IF(U6="Open Sale", IF(TODAY()-H6=0, "0 Days", TEXT(TODAY()-H6, "0") &amp; " Days"), IF(U6="Closed Sale", AA6, "")))</f>
        <v/>
      </c>
      <c r="AB6" s="159" t="str">
        <f t="shared" ca="1" si="2"/>
        <v/>
      </c>
      <c r="AC6" s="160" t="str">
        <f t="shared" ca="1" si="3"/>
        <v/>
      </c>
      <c r="AD6" s="159" t="str">
        <f t="shared" ca="1" si="4"/>
        <v/>
      </c>
      <c r="AE6" s="161" t="s">
        <v>71</v>
      </c>
      <c r="AF6" s="161" t="s">
        <v>72</v>
      </c>
      <c r="AG6" s="163"/>
      <c r="AH6" s="134"/>
      <c r="AI6" s="164" t="str">
        <f t="shared" si="5"/>
        <v>January 2025</v>
      </c>
      <c r="AJ6" s="164" t="str">
        <f>IF(AND(OpenPendingCases[[#This Row],[Sale Status	]]="Open Sale",OpenPendingCases[[#This Row],[Potential Same Month]]="High"),TEXT(OpenPendingCases[[#This Row],[Request Entry Date]], "[$-en-us]mmmm"),"")</f>
        <v/>
      </c>
      <c r="AK6" s="165">
        <f>IFERROR(VALUE(SUBSTITUTE(OpenPendingCases[[#This Row],[Price]]," AED","")),"")</f>
        <v>135000</v>
      </c>
      <c r="AL6" s="165">
        <f>IFERROR(VALUE(LEFT(OpenPendingCases[[#This Row],[Price]],FIND(" ",OpenPendingCases[[#This Row],[Price]])-1)),"")</f>
        <v>135000</v>
      </c>
      <c r="AM6" s="165">
        <f>IFERROR(VALUE(_xlfn.TEXTBEFORE(OpenPendingCases[[#This Row],[Price]]," AED")),"")</f>
        <v>135000</v>
      </c>
      <c r="AN6" s="165"/>
      <c r="AS6" s="1" t="s">
        <v>73</v>
      </c>
      <c r="AU6" s="1" t="s">
        <v>74</v>
      </c>
      <c r="AV6" s="1" t="s">
        <v>75</v>
      </c>
      <c r="AW6" s="1" t="s">
        <v>76</v>
      </c>
      <c r="AX6" s="1" t="s">
        <v>77</v>
      </c>
    </row>
    <row r="7" spans="3:52" ht="130.5" customHeight="1" x14ac:dyDescent="0.35">
      <c r="C7" s="148">
        <v>3</v>
      </c>
      <c r="D7" s="137" t="str">
        <f>IF($U7="Open Sale", IF(MAX($D$4:D6)+1=0, "", MAX($D$4:D6)+1), "")</f>
        <v/>
      </c>
      <c r="E7" s="137" t="str">
        <f>IF($U7="Pending Allocation", IF(MAX($E$4:E6)+1=0, "", MAX($E$4:E6)+1), "")</f>
        <v/>
      </c>
      <c r="F7" s="134" t="s">
        <v>53</v>
      </c>
      <c r="G7" s="137"/>
      <c r="H7" s="149">
        <v>45687</v>
      </c>
      <c r="I7" s="150">
        <v>45688</v>
      </c>
      <c r="J7" s="68" t="str">
        <f>IF(OpenPendingCases[[#This Row],[Timepiece Reference ]]="", "", IF(_xlfn.XLOOKUP(OpenPendingCases[[#This Row],[Timepiece Reference ]], Table1[[Timepiece Reference ]], Table1[CRC STOCK], "Not Found")="YES", "CRC Stock", "Boutique Stock"))</f>
        <v>CRC Stock</v>
      </c>
      <c r="K7" s="137" t="s">
        <v>78</v>
      </c>
      <c r="L7" s="140" t="s">
        <v>1</v>
      </c>
      <c r="M7" s="141" t="s">
        <v>79</v>
      </c>
      <c r="N7" s="137" t="s">
        <v>55</v>
      </c>
      <c r="O7" s="134" t="s">
        <v>80</v>
      </c>
      <c r="P7" s="94" t="str">
        <f>IFERROR(VLOOKUP(TRIM(O7), Collection!$B$2:$D$1001, 2, FALSE), "")</f>
        <v>Historiques 222</v>
      </c>
      <c r="Q7" s="190" t="str">
        <f>IFERROR(VLOOKUP(TRIM(O7), Collection!$B$2:$D$1001, 3, FALSE), "")</f>
        <v>279,000 AED</v>
      </c>
      <c r="R7" s="153">
        <f t="shared" si="0"/>
        <v>279000</v>
      </c>
      <c r="S7" s="154">
        <v>101584631</v>
      </c>
      <c r="T7" s="155" t="s">
        <v>57</v>
      </c>
      <c r="U7" s="137" t="s">
        <v>81</v>
      </c>
      <c r="V7" s="137"/>
      <c r="W7" s="156" t="str">
        <f t="shared" si="1"/>
        <v/>
      </c>
      <c r="X7" s="157"/>
      <c r="Y7" s="158"/>
      <c r="Z7" s="158"/>
      <c r="AA7" s="159" t="str">
        <f t="shared" ca="1" si="6"/>
        <v/>
      </c>
      <c r="AB7" s="159" t="str">
        <f t="shared" ca="1" si="2"/>
        <v/>
      </c>
      <c r="AC7" s="160" t="str">
        <f t="shared" ca="1" si="3"/>
        <v/>
      </c>
      <c r="AD7" s="159" t="str">
        <f t="shared" ca="1" si="4"/>
        <v/>
      </c>
      <c r="AE7" s="161"/>
      <c r="AF7" s="161" t="s">
        <v>82</v>
      </c>
      <c r="AG7" s="161" t="s">
        <v>83</v>
      </c>
      <c r="AH7" s="137"/>
      <c r="AI7" s="164" t="str">
        <f t="shared" si="5"/>
        <v>January 2025</v>
      </c>
      <c r="AJ7" s="164" t="str">
        <f>IF(AND(OpenPendingCases[[#This Row],[Sale Status	]]="Open Sale",OpenPendingCases[[#This Row],[Potential Same Month]]="High"),TEXT(OpenPendingCases[[#This Row],[Request Entry Date]], "[$-en-us]mmmm"),"")</f>
        <v/>
      </c>
      <c r="AK7" s="165">
        <f>IFERROR(VALUE(SUBSTITUTE(OpenPendingCases[[#This Row],[Price]]," AED","")),"")</f>
        <v>279000</v>
      </c>
      <c r="AL7" s="165">
        <f>IFERROR(VALUE(LEFT(OpenPendingCases[[#This Row],[Price]],FIND(" ",OpenPendingCases[[#This Row],[Price]])-1)),"")</f>
        <v>279000</v>
      </c>
      <c r="AM7" s="165">
        <f>IFERROR(VALUE(_xlfn.TEXTBEFORE(OpenPendingCases[[#This Row],[Price]]," AED")),"")</f>
        <v>279000</v>
      </c>
      <c r="AN7" s="165"/>
      <c r="AS7" s="1" t="s">
        <v>84</v>
      </c>
      <c r="AU7" s="1" t="s">
        <v>85</v>
      </c>
      <c r="AV7" s="1" t="s">
        <v>86</v>
      </c>
      <c r="AW7" s="1" t="s">
        <v>87</v>
      </c>
      <c r="AX7" s="1" t="s">
        <v>88</v>
      </c>
    </row>
    <row r="8" spans="3:52" ht="130.5" customHeight="1" x14ac:dyDescent="0.35">
      <c r="C8" s="148">
        <v>4</v>
      </c>
      <c r="D8" s="137" t="str">
        <f>IF($U8="Open Sale", IF(MAX($D$4:D7)+1=0, "", MAX($D$4:D7)+1), "")</f>
        <v/>
      </c>
      <c r="E8" s="137" t="str">
        <f>IF($U8="Pending Allocation", IF(MAX($E$4:E7)+1=0, "", MAX($E$4:E7)+1), "")</f>
        <v/>
      </c>
      <c r="F8" s="134" t="s">
        <v>53</v>
      </c>
      <c r="G8" s="137"/>
      <c r="H8" s="149">
        <v>45692</v>
      </c>
      <c r="I8" s="150">
        <v>45692</v>
      </c>
      <c r="J8" s="68" t="str">
        <f>IF(OpenPendingCases[[#This Row],[Timepiece Reference ]]="", "", IF(_xlfn.XLOOKUP(OpenPendingCases[[#This Row],[Timepiece Reference ]], Table1[[Timepiece Reference ]], Table1[CRC STOCK], "Not Found")="YES", "CRC Stock", "Boutique Stock"))</f>
        <v>CRC Stock</v>
      </c>
      <c r="K8" s="137" t="s">
        <v>78</v>
      </c>
      <c r="L8" s="140" t="s">
        <v>1</v>
      </c>
      <c r="M8" s="141" t="s">
        <v>88</v>
      </c>
      <c r="N8" s="137" t="s">
        <v>55</v>
      </c>
      <c r="O8" s="134" t="s">
        <v>89</v>
      </c>
      <c r="P8" s="94" t="str">
        <f>IFERROR(VLOOKUP(TRIM(O8), Collection!$B$2:$D$1001, 2, FALSE), "")</f>
        <v>Fiftysix self-winding</v>
      </c>
      <c r="Q8" s="190" t="str">
        <f>IFERROR(VLOOKUP(TRIM(O8), Collection!$B$2:$D$1001, 3, FALSE), "")</f>
        <v>48,000 AED</v>
      </c>
      <c r="R8" s="153">
        <f t="shared" si="0"/>
        <v>48000</v>
      </c>
      <c r="S8" s="154">
        <v>103936063</v>
      </c>
      <c r="T8" s="155" t="s">
        <v>57</v>
      </c>
      <c r="U8" s="137" t="s">
        <v>81</v>
      </c>
      <c r="V8" s="137"/>
      <c r="W8" s="156" t="str">
        <f t="shared" si="1"/>
        <v/>
      </c>
      <c r="X8" s="157"/>
      <c r="Y8" s="158"/>
      <c r="Z8" s="158"/>
      <c r="AA8" s="159" t="str">
        <f t="shared" ca="1" si="6"/>
        <v/>
      </c>
      <c r="AB8" s="159" t="str">
        <f t="shared" ca="1" si="2"/>
        <v/>
      </c>
      <c r="AC8" s="160" t="str">
        <f t="shared" ca="1" si="3"/>
        <v/>
      </c>
      <c r="AD8" s="159" t="str">
        <f t="shared" ca="1" si="4"/>
        <v/>
      </c>
      <c r="AE8" s="161" t="s">
        <v>90</v>
      </c>
      <c r="AF8" s="161" t="s">
        <v>91</v>
      </c>
      <c r="AG8" s="161" t="s">
        <v>92</v>
      </c>
      <c r="AH8" s="137"/>
      <c r="AI8" s="164" t="str">
        <f t="shared" si="5"/>
        <v>February 2025</v>
      </c>
      <c r="AJ8" s="164" t="str">
        <f>IF(AND(OpenPendingCases[[#This Row],[Sale Status	]]="Open Sale",OpenPendingCases[[#This Row],[Potential Same Month]]="High"),TEXT(OpenPendingCases[[#This Row],[Request Entry Date]], "[$-en-us]mmmm"),"")</f>
        <v/>
      </c>
      <c r="AK8" s="165">
        <f>IFERROR(VALUE(SUBSTITUTE(OpenPendingCases[[#This Row],[Price]]," AED","")),"")</f>
        <v>48000</v>
      </c>
      <c r="AL8" s="165">
        <f>IFERROR(VALUE(LEFT(OpenPendingCases[[#This Row],[Price]],FIND(" ",OpenPendingCases[[#This Row],[Price]])-1)),"")</f>
        <v>48000</v>
      </c>
      <c r="AM8" s="165">
        <f>IFERROR(VALUE(_xlfn.TEXTBEFORE(OpenPendingCases[[#This Row],[Price]]," AED")),"")</f>
        <v>48000</v>
      </c>
      <c r="AN8" s="165"/>
      <c r="AS8" s="1" t="s">
        <v>69</v>
      </c>
      <c r="AW8" s="1" t="s">
        <v>93</v>
      </c>
      <c r="AX8" s="1" t="s">
        <v>79</v>
      </c>
    </row>
    <row r="9" spans="3:52" ht="130.5" customHeight="1" x14ac:dyDescent="0.35">
      <c r="C9" s="148">
        <v>5</v>
      </c>
      <c r="D9" s="137">
        <f>IF($U9="Open Sale", IF(MAX($D$4:D8)+1=0, "", MAX($D$4:D8)+1), "")</f>
        <v>2</v>
      </c>
      <c r="E9" s="137" t="str">
        <f>IF($U9="Pending Allocation", IF(MAX($E$4:E8)+1=0, "", MAX($E$4:E8)+1), "")</f>
        <v/>
      </c>
      <c r="F9" s="134" t="s">
        <v>94</v>
      </c>
      <c r="G9" s="137"/>
      <c r="H9" s="150">
        <v>45749</v>
      </c>
      <c r="I9" s="150">
        <v>45749</v>
      </c>
      <c r="J9" s="68" t="str">
        <f>IF(OpenPendingCases[[#This Row],[Timepiece Reference ]]="", "", IF(_xlfn.XLOOKUP(OpenPendingCases[[#This Row],[Timepiece Reference ]], Table1[[Timepiece Reference ]], Table1[CRC STOCK], "Not Found")="YES", "CRC Stock", "Boutique Stock"))</f>
        <v>Boutique Stock</v>
      </c>
      <c r="K9" s="137" t="s">
        <v>6</v>
      </c>
      <c r="L9" s="140" t="s">
        <v>1</v>
      </c>
      <c r="M9" s="141" t="s">
        <v>88</v>
      </c>
      <c r="N9" s="137" t="s">
        <v>55</v>
      </c>
      <c r="O9" s="134" t="s">
        <v>95</v>
      </c>
      <c r="P9" s="94" t="str">
        <f>IFERROR(VLOOKUP(TRIM(O9), Collection!$B$2:$D$1001, 2, FALSE), "")</f>
        <v>Overseas self-winding</v>
      </c>
      <c r="Q9" s="190" t="str">
        <f>IFERROR(VLOOKUP(TRIM(O9), Collection!$B$2:$D$1001, 3, FALSE), "")</f>
        <v>229,000 AED</v>
      </c>
      <c r="R9" s="153">
        <f>IFERROR(VALUE(SUBSTITUTE(SUBSTITUTE(Q9, "Price", ""), "AED", "")), "")</f>
        <v>229000</v>
      </c>
      <c r="S9" s="154"/>
      <c r="T9" s="204" t="s">
        <v>96</v>
      </c>
      <c r="U9" s="134" t="s">
        <v>58</v>
      </c>
      <c r="V9" s="134"/>
      <c r="W9" s="156" t="str">
        <f xml:space="preserve"> IF(Z9 = "",
     "",
     TEXT(Z9, "mmmm"))</f>
        <v/>
      </c>
      <c r="X9" s="157"/>
      <c r="Y9" s="158"/>
      <c r="Z9" s="158"/>
      <c r="AA9" s="159" t="str">
        <f ca="1">IF(H9="", "", IF(U9="Open Sale", IF(TODAY()-H9=0, "0 Days", TEXT(TODAY()-H9, "0") &amp; " Days"), IF(U9="Closed Sale", AA9, "")))</f>
        <v>168 Days</v>
      </c>
      <c r="AB9" s="159" t="str">
        <f ca="1">IF(H9="", "", IF(OR(U9="Pending", U9="Pending Allocation"), CONCATENATE(TODAY()-H9, " Days"), IF(U9="Closed", "", "")))</f>
        <v/>
      </c>
      <c r="AC9" s="160" t="str">
        <f ca="1">IF(U9="Pending Allocation", IF(I9="", "", TODAY()-I9), "")</f>
        <v/>
      </c>
      <c r="AD9" s="159" t="str">
        <f ca="1">IF(U9="Open Sale", TEXT(TODAY()-I9, "0"),
   IF(U9="Pending", "",
      IF(U9="Closed Sale", "", "")))</f>
        <v>168</v>
      </c>
      <c r="AE9" s="161" t="s">
        <v>97</v>
      </c>
      <c r="AF9" s="161" t="s">
        <v>98</v>
      </c>
      <c r="AG9" s="161" t="s">
        <v>97</v>
      </c>
      <c r="AH9" s="137"/>
      <c r="AI9" s="164" t="e">
        <f>TEXT(#REF!, "mmmm yyyy")</f>
        <v>#REF!</v>
      </c>
      <c r="AJ9" s="189" t="str">
        <f>IF(AND(OpenPendingCases[[#This Row],[Sale Status	]]="Open Sale",OpenPendingCases[[#This Row],[Potential Same Month]]="High"),TEXT(OpenPendingCases[[#This Row],[Request Entry Date]], "[$-en-us]mmmm"),"")</f>
        <v/>
      </c>
      <c r="AK9" s="165">
        <f>IFERROR(VALUE(SUBSTITUTE(OpenPendingCases[[#This Row],[Price]]," AED","")),"")</f>
        <v>229000</v>
      </c>
      <c r="AL9" s="165">
        <f>IFERROR(VALUE(LEFT(OpenPendingCases[[#This Row],[Price]],FIND(" ",OpenPendingCases[[#This Row],[Price]])-1)),"")</f>
        <v>229000</v>
      </c>
      <c r="AM9" s="165">
        <f>IFERROR(VALUE(_xlfn.TEXTBEFORE(OpenPendingCases[[#This Row],[Price]]," AED")),"")</f>
        <v>229000</v>
      </c>
      <c r="AN9" s="165"/>
    </row>
    <row r="10" spans="3:52" ht="130.5" customHeight="1" x14ac:dyDescent="0.3">
      <c r="C10" s="134">
        <v>6</v>
      </c>
      <c r="D10" s="137"/>
      <c r="E10" s="137"/>
      <c r="F10" s="138" t="s">
        <v>53</v>
      </c>
      <c r="G10" s="134" t="s">
        <v>99</v>
      </c>
      <c r="H10" s="150">
        <v>45836</v>
      </c>
      <c r="I10" s="150">
        <v>45836</v>
      </c>
      <c r="J10" s="172" t="s">
        <v>100</v>
      </c>
      <c r="K10" s="138" t="s">
        <v>100</v>
      </c>
      <c r="L10" s="205" t="s">
        <v>101</v>
      </c>
      <c r="M10" s="142" t="s">
        <v>3</v>
      </c>
      <c r="N10" s="206" t="s">
        <v>55</v>
      </c>
      <c r="O10" s="136" t="s">
        <v>102</v>
      </c>
      <c r="P10" s="138" t="str">
        <f>IFERROR(VLOOKUP(TRIM(O10), Collection!$B$2:$D$1001, 2, FALSE), "")</f>
        <v>Overseas self-winding Green Diamonds - Pink Gold</v>
      </c>
      <c r="Q10" s="187" t="str">
        <f>IFERROR(VLOOKUP(TRIM(O10), Collection!$B$2:$D$1001, 3, FALSE), "")</f>
        <v>220,000 AED</v>
      </c>
      <c r="R10" s="173">
        <f>IFERROR(VALUE(SUBSTITUTE(SUBSTITUTE(Q10, "Price", ""), "AED", "")), "")</f>
        <v>220000</v>
      </c>
      <c r="S10" s="174">
        <v>107400628</v>
      </c>
      <c r="T10" s="185"/>
      <c r="U10" s="138" t="s">
        <v>84</v>
      </c>
      <c r="V10" s="138"/>
      <c r="W10" s="186" t="str">
        <f xml:space="preserve"> IF(Z10 = "",
     "",
     TEXT(Z10, "mmmm"))</f>
        <v/>
      </c>
      <c r="X10" s="188"/>
      <c r="Y10" s="175"/>
      <c r="Z10" s="175"/>
      <c r="AA10" s="138" t="str">
        <f ca="1">IF(H10="", "", IF(U10="Open Sale", IF(TODAY()-H10=0, "0 Days", TEXT(TODAY()-H10, "0") &amp; " Days"), IF(U10="Closed Sale", AA10, "")))</f>
        <v/>
      </c>
      <c r="AB10" s="138" t="str">
        <f ca="1">IF(H10="", "", IF(OR(U10="Pending", U10="Pending Allocation"), CONCATENATE(TODAY()-H10, " Days"), IF(U10="Closed", "", "")))</f>
        <v>81 Days</v>
      </c>
      <c r="AC10" s="176">
        <f ca="1">IF(U10="Pending Allocation", IF(I10="", "", TODAY()-I10), "")</f>
        <v>81</v>
      </c>
      <c r="AD10" s="177" t="str">
        <f ca="1">IF(U10="Open Sale", TEXT(TODAY()-I10, "0"),
   IF(U10="Pending", "",
      IF(U10="Closed Sale", "", "")))</f>
        <v/>
      </c>
      <c r="AE10" s="178"/>
      <c r="AF10" s="178"/>
      <c r="AG10" s="178"/>
      <c r="AH10" s="137"/>
      <c r="AI10" s="164" t="str">
        <f>TEXT(I9, "mmmm yyyy")</f>
        <v>April 2025</v>
      </c>
      <c r="AJ10" s="164" t="str">
        <f>IF(AND(OpenPendingCases[[#This Row],[Sale Status	]]="Open Sale",OpenPendingCases[[#This Row],[Potential Same Month]]="High"),TEXT(OpenPendingCases[[#This Row],[Request Entry Date]], "[$-en-us]mmmm"),"")</f>
        <v/>
      </c>
      <c r="AK10" s="165">
        <f>IFERROR(VALUE(SUBSTITUTE(OpenPendingCases[[#This Row],[Price]]," AED","")),"")</f>
        <v>220000</v>
      </c>
      <c r="AL10" s="165">
        <f>IFERROR(VALUE(LEFT(OpenPendingCases[[#This Row],[Price]],FIND(" ",OpenPendingCases[[#This Row],[Price]])-1)),"")</f>
        <v>220000</v>
      </c>
      <c r="AM10" s="165">
        <f>IFERROR(VALUE(_xlfn.TEXTBEFORE(OpenPendingCases[[#This Row],[Price]]," AED")),"")</f>
        <v>220000</v>
      </c>
      <c r="AN10" s="165"/>
      <c r="AS10" s="1" t="s">
        <v>81</v>
      </c>
      <c r="AW10" s="1" t="s">
        <v>103</v>
      </c>
      <c r="AX10" s="1" t="s">
        <v>3</v>
      </c>
    </row>
    <row r="11" spans="3:52" ht="130.5" hidden="1" customHeight="1" x14ac:dyDescent="0.35">
      <c r="C11" s="134"/>
      <c r="D11" s="137" t="str">
        <f>IF($U11="Open", IF(MAX($D$4:D9)+1=0, "", MAX($D$4:D9)+1), "")</f>
        <v/>
      </c>
      <c r="E11" s="137" t="str">
        <f>IF($U11="Pending Allocation", IF(MAX($E$4:E9)+1=0, "", MAX($E$4:E9)+1), "")</f>
        <v/>
      </c>
      <c r="F11" s="134" t="s">
        <v>17</v>
      </c>
      <c r="G11" s="137"/>
      <c r="H11" s="150"/>
      <c r="I11" s="150"/>
      <c r="J11" s="68" t="str">
        <f>IF(OpenPendingCases[[#This Row],[Timepiece Reference ]]="", "", IF(_xlfn.XLOOKUP(OpenPendingCases[[#This Row],[Timepiece Reference ]], Table1[[Timepiece Reference ]], Table1[CRC STOCK], "Not Found")="YES", "CRC Stock", "Boutique Stock"))</f>
        <v>Boutique Stock</v>
      </c>
      <c r="K11" s="137" t="str">
        <f>IF(OpenPendingCases[[#This Row],[Timepiece Reference ]]="", "", IF(_xlfn.XLOOKUP(OpenPendingCases[[#This Row],[Timepiece Reference ]], Table1[[Timepiece Reference ]], Table1[CRC STOCK], "Not Found")="YES", "CRC Stock", "Boutique Stock"))</f>
        <v>Boutique Stock</v>
      </c>
      <c r="L11" s="140" t="s">
        <v>1</v>
      </c>
      <c r="M11" s="141" t="s">
        <v>3</v>
      </c>
      <c r="N11" s="137" t="s">
        <v>104</v>
      </c>
      <c r="O11" s="134" t="s">
        <v>14</v>
      </c>
      <c r="P11" s="137" t="str">
        <f>IFERROR(VLOOKUP(TRIM(O11), Collection!$B$2:$D$1001, 2, FALSE), "")</f>
        <v>Overseas quartz</v>
      </c>
      <c r="Q11" s="152" t="str">
        <f>IFERROR(VLOOKUP(TRIM(O11), Collection!$B$2:$D$1001, 3, FALSE), "")</f>
        <v>62,500 AED</v>
      </c>
      <c r="R11" s="153">
        <f>IFERROR(VALUE(SUBSTITUTE(SUBSTITUTE(Q11, "Price", ""), "AED", "")), "")</f>
        <v>62500</v>
      </c>
      <c r="S11" s="168">
        <v>101952213</v>
      </c>
      <c r="T11" s="183"/>
      <c r="U11" s="137" t="s">
        <v>69</v>
      </c>
      <c r="V11" s="137"/>
      <c r="W11" s="156" t="s">
        <v>105</v>
      </c>
      <c r="X11" s="157" t="s">
        <v>106</v>
      </c>
      <c r="Y11" s="158" t="s">
        <v>107</v>
      </c>
      <c r="Z11" s="158">
        <v>45840</v>
      </c>
      <c r="AA11" s="137" t="str">
        <f ca="1">IF(H11="", "", IF(U11="Open Sale", IF(TODAY()-H11=0, "0 Days", TEXT(TODAY()-H11, "0") &amp; " Days"), IF(U11="Closed Sale", AA11, "")))</f>
        <v/>
      </c>
      <c r="AB11" s="137" t="str">
        <f ca="1">IF(H11="", "", IF(OR(U11="Pending", U11="Pending Allocation"), CONCATENATE(TODAY()-H11, " Days"), IF(U11="Closed", "", "")))</f>
        <v/>
      </c>
      <c r="AC11" s="160" t="str">
        <f ca="1">IF(U11="Pending Allocation", IF(I11="", "", TODAY()-I11), "")</f>
        <v/>
      </c>
      <c r="AD11" s="159" t="str">
        <f ca="1">IF(U11="Open Sale", TEXT(TODAY()-I11, "0"),
   IF(U11="Pending", "",
      IF(U11="Closed Sale", "", "")))</f>
        <v/>
      </c>
      <c r="AE11" s="163"/>
      <c r="AF11" s="161"/>
      <c r="AG11" s="161"/>
      <c r="AH11" s="137"/>
      <c r="AI11" s="164" t="str">
        <f>TEXT(I11, "mmmm yyyy")</f>
        <v>January 1900</v>
      </c>
      <c r="AJ11" s="189" t="str">
        <f>IF(AND(OpenPendingCases[[#This Row],[Sale Status	]]="Open Sale",OpenPendingCases[[#This Row],[Potential Same Month]]="High"),TEXT(OpenPendingCases[[#This Row],[Request Entry Date]], "[$-en-us]mmmm"),"")</f>
        <v/>
      </c>
      <c r="AK11" s="165">
        <f>IFERROR(VALUE(SUBSTITUTE(OpenPendingCases[[#This Row],[Price]]," AED","")),"")</f>
        <v>62500</v>
      </c>
      <c r="AL11" s="165">
        <f>IFERROR(VALUE(LEFT(OpenPendingCases[[#This Row],[Price]],FIND(" ",OpenPendingCases[[#This Row],[Price]])-1)),"")</f>
        <v>62500</v>
      </c>
      <c r="AM11" s="165">
        <f>IFERROR(VALUE(_xlfn.TEXTBEFORE(OpenPendingCases[[#This Row],[Price]]," AED")),"")</f>
        <v>62500</v>
      </c>
      <c r="AN11" s="165"/>
      <c r="AS11" s="1" t="s">
        <v>108</v>
      </c>
    </row>
    <row r="12" spans="3:52" ht="130.5" hidden="1" customHeight="1" x14ac:dyDescent="0.35">
      <c r="C12" s="134"/>
      <c r="D12" s="137" t="str">
        <f>IF($U12="Open", IF(MAX($D$4:D12)+1=0, "", MAX($D$4:D12)+1), "")</f>
        <v/>
      </c>
      <c r="E12" s="137" t="str">
        <f>IF($U12="Pending Allocation", IF(MAX($E$4:E12)+1=0, "", MAX($E$4:E12)+1), "")</f>
        <v/>
      </c>
      <c r="F12" s="134" t="s">
        <v>17</v>
      </c>
      <c r="G12" s="137" t="s">
        <v>109</v>
      </c>
      <c r="H12" s="150"/>
      <c r="I12" s="150"/>
      <c r="J12" s="151" t="str">
        <f>IF(OpenPendingCases[[#This Row],[Timepiece Reference ]]="", "", IF(_xlfn.XLOOKUP(OpenPendingCases[[#This Row],[Timepiece Reference ]], Table1[[Timepiece Reference ]], Table1[CRC STOCK], "Not Found")="YES", "CRC Stock", "Boutique Stock"))</f>
        <v>Boutique Stock</v>
      </c>
      <c r="K12" s="137" t="s">
        <v>6</v>
      </c>
      <c r="L12" s="199" t="s">
        <v>110</v>
      </c>
      <c r="M12" s="141" t="s">
        <v>3</v>
      </c>
      <c r="N12" s="137" t="s">
        <v>55</v>
      </c>
      <c r="O12" s="134" t="s">
        <v>111</v>
      </c>
      <c r="P12" s="137" t="str">
        <f>IFERROR(VLOOKUP(TRIM(O12), Collection!$B$2:$D$1001, 2, FALSE), "")</f>
        <v>Overseas dual time Silver</v>
      </c>
      <c r="Q12" s="152" t="str">
        <f>IFERROR(VLOOKUP(TRIM(O12), Collection!$B$2:$D$1001, 3, FALSE), "")</f>
        <v>117,000 AED</v>
      </c>
      <c r="R12" s="153">
        <f>IFERROR(VALUE(SUBSTITUTE(SUBSTITUTE(Q12, "Price", ""), "AED", "")), "")</f>
        <v>117000</v>
      </c>
      <c r="S12" s="168">
        <v>102442135</v>
      </c>
      <c r="T12" s="183"/>
      <c r="U12" s="137" t="s">
        <v>69</v>
      </c>
      <c r="V12" s="137"/>
      <c r="W12" s="156" t="s">
        <v>112</v>
      </c>
      <c r="X12" s="157" t="s">
        <v>106</v>
      </c>
      <c r="Y12" s="158" t="s">
        <v>113</v>
      </c>
      <c r="Z12" s="158"/>
      <c r="AA12" s="137" t="str">
        <f ca="1">IF(H12="", "", IF(U12="Open Sale", IF(TODAY()-H12=0, "0 Days", TEXT(TODAY()-H12, "0") &amp; " Days"), IF(U12="Closed Sale", AA12, "")))</f>
        <v/>
      </c>
      <c r="AB12" s="137" t="str">
        <f ca="1">IF(H12="", "", IF(OR(U12="Pending", U12="Pending Allocation"), CONCATENATE(TODAY()-H12, " Days"), IF(U12="Closed", "", "")))</f>
        <v/>
      </c>
      <c r="AC12" s="160" t="str">
        <f ca="1">IF(U12="Pending Allocation", IF(I12="", "", TODAY()-I12), "")</f>
        <v/>
      </c>
      <c r="AD12" s="159" t="str">
        <f ca="1">IF(U12="Open Sale", TEXT(TODAY()-I12, "0"),
   IF(U12="Pending", "",
      IF(U12="Closed Sale", "", "")))</f>
        <v/>
      </c>
      <c r="AE12" s="163" t="s">
        <v>69</v>
      </c>
      <c r="AF12" s="161" t="s">
        <v>69</v>
      </c>
      <c r="AG12" s="161"/>
      <c r="AH12" s="137"/>
      <c r="AI12" s="164" t="str">
        <f>TEXT(I12, "mmmm yyyy")</f>
        <v>January 1900</v>
      </c>
      <c r="AJ12" s="189" t="str">
        <f>IF(AND(OpenPendingCases[[#This Row],[Sale Status	]]="Open Sale",OpenPendingCases[[#This Row],[Potential Same Month]]="High"),TEXT(OpenPendingCases[[#This Row],[Request Entry Date]], "[$-en-us]mmmm"),"")</f>
        <v/>
      </c>
      <c r="AK12" s="165">
        <f>IFERROR(VALUE(SUBSTITUTE(OpenPendingCases[[#This Row],[Price]]," AED","")),"")</f>
        <v>117000</v>
      </c>
      <c r="AL12" s="165">
        <f>IFERROR(VALUE(LEFT(OpenPendingCases[[#This Row],[Price]],FIND(" ",OpenPendingCases[[#This Row],[Price]])-1)),"")</f>
        <v>117000</v>
      </c>
      <c r="AM12" s="165">
        <f>IFERROR(VALUE(_xlfn.TEXTBEFORE(OpenPendingCases[[#This Row],[Price]]," AED")),"")</f>
        <v>117000</v>
      </c>
      <c r="AN12" s="165"/>
    </row>
    <row r="13" spans="3:52" ht="130.5" hidden="1" customHeight="1" x14ac:dyDescent="0.35">
      <c r="C13" s="134"/>
      <c r="D13" s="137" t="str">
        <f>IF($U13="Open", IF(MAX($D$4:D12)+1=0, "", MAX($D$4:D12)+1), "")</f>
        <v/>
      </c>
      <c r="E13" s="137" t="str">
        <f>IF($U13="Pending Allocation", IF(MAX($E$4:E12)+1=0, "", MAX($E$4:E12)+1), "")</f>
        <v/>
      </c>
      <c r="F13" s="134" t="s">
        <v>15</v>
      </c>
      <c r="G13" s="137" t="s">
        <v>114</v>
      </c>
      <c r="H13" s="150" t="s">
        <v>115</v>
      </c>
      <c r="I13" s="150"/>
      <c r="J13" s="151" t="str">
        <f>IF(OpenPendingCases[[#This Row],[Timepiece Reference ]]="", "", IF(_xlfn.XLOOKUP(OpenPendingCases[[#This Row],[Timepiece Reference ]], Table1[[Timepiece Reference ]], Table1[CRC STOCK], "Not Found")="YES", "CRC Stock", "Boutique Stock"))</f>
        <v>CRC Stock</v>
      </c>
      <c r="K13" s="137" t="s">
        <v>6</v>
      </c>
      <c r="L13" s="199" t="s">
        <v>1</v>
      </c>
      <c r="M13" s="141" t="s">
        <v>3</v>
      </c>
      <c r="N13" s="137" t="s">
        <v>55</v>
      </c>
      <c r="O13" s="134" t="s">
        <v>16</v>
      </c>
      <c r="P13" s="137" t="str">
        <f>IFERROR(VLOOKUP(TRIM(O13), Collection!$B$2:$D$1001, 2, FALSE), "")</f>
        <v>Overseas chronograph</v>
      </c>
      <c r="Q13" s="152" t="str">
        <f>IFERROR(VLOOKUP(TRIM(O13), Collection!$B$2:$D$1001, 3, FALSE), "")</f>
        <v>135,000 AED</v>
      </c>
      <c r="R13" s="153">
        <f>IFERROR(VALUE(SUBSTITUTE(SUBSTITUTE(Q13, "Price", ""), "AED", "")), "")</f>
        <v>135000</v>
      </c>
      <c r="S13" s="168">
        <v>104853450</v>
      </c>
      <c r="T13" s="183"/>
      <c r="U13" s="137" t="s">
        <v>69</v>
      </c>
      <c r="V13" s="137"/>
      <c r="W13" s="156" t="s">
        <v>112</v>
      </c>
      <c r="X13" s="157" t="s">
        <v>106</v>
      </c>
      <c r="Y13" s="158" t="s">
        <v>116</v>
      </c>
      <c r="Z13" s="158">
        <v>45821</v>
      </c>
      <c r="AA13" s="137" t="str">
        <f ca="1">IF(H13="", "", IF(U13="Open Sale", IF(TODAY()-H13=0, "0 Days", TEXT(TODAY()-H13, "0") &amp; " Days"), IF(U13="Closed Sale", AA13, "")))</f>
        <v/>
      </c>
      <c r="AB13" s="137" t="str">
        <f ca="1">IF(H13="", "", IF(OR(U13="Pending", U13="Pending Allocation"), CONCATENATE(TODAY()-H13, " Days"), IF(U13="Closed", "", "")))</f>
        <v/>
      </c>
      <c r="AC13" s="160" t="str">
        <f ca="1">IF(U13="Pending Allocation", IF(I13="", "", TODAY()-I13), "")</f>
        <v/>
      </c>
      <c r="AD13" s="159" t="str">
        <f ca="1">IF(U13="Open Sale", TEXT(TODAY()-I13, "0"),
   IF(U13="Pending", "",
      IF(U13="Closed Sale", "", "")))</f>
        <v/>
      </c>
      <c r="AE13" s="163"/>
      <c r="AF13" s="161" t="s">
        <v>117</v>
      </c>
      <c r="AG13" s="161"/>
      <c r="AH13" s="137"/>
      <c r="AI13" s="164" t="str">
        <f>TEXT(I13, "mmmm yyyy")</f>
        <v>January 1900</v>
      </c>
      <c r="AJ13" s="189" t="str">
        <f>IF(AND(OpenPendingCases[[#This Row],[Sale Status	]]="Open Sale",OpenPendingCases[[#This Row],[Potential Same Month]]="High"),TEXT(OpenPendingCases[[#This Row],[Request Entry Date]], "[$-en-us]mmmm"),"")</f>
        <v/>
      </c>
      <c r="AK13" s="165">
        <f>IFERROR(VALUE(SUBSTITUTE(OpenPendingCases[[#This Row],[Price]]," AED","")),"")</f>
        <v>135000</v>
      </c>
      <c r="AL13" s="165">
        <f>IFERROR(VALUE(LEFT(OpenPendingCases[[#This Row],[Price]],FIND(" ",OpenPendingCases[[#This Row],[Price]])-1)),"")</f>
        <v>135000</v>
      </c>
      <c r="AM13" s="165">
        <f>IFERROR(VALUE(_xlfn.TEXTBEFORE(OpenPendingCases[[#This Row],[Price]]," AED")),"")</f>
        <v>135000</v>
      </c>
      <c r="AN13" s="165"/>
    </row>
    <row r="14" spans="3:52" ht="130.5" customHeight="1" x14ac:dyDescent="0.35">
      <c r="C14" s="148">
        <v>14</v>
      </c>
      <c r="D14" s="137" t="str">
        <f>IF($U14="Open Sale", IF(MAX($D$4:D9)+1=0, "", MAX($D$4:D9)+1), "")</f>
        <v/>
      </c>
      <c r="E14" s="137">
        <f>IF($U14="Pending Allocation", IF(MAX($E$4:E9)+1=0, "", MAX($E$4:E9)+1), "")</f>
        <v>1</v>
      </c>
      <c r="F14" s="134" t="s">
        <v>13</v>
      </c>
      <c r="G14" s="137" t="s">
        <v>118</v>
      </c>
      <c r="H14" s="150">
        <v>45610</v>
      </c>
      <c r="I14" s="150">
        <v>45752</v>
      </c>
      <c r="J14" s="68" t="str">
        <f>IF(OpenPendingCases[[#This Row],[Timepiece Reference ]]="", "", IF(_xlfn.XLOOKUP(OpenPendingCases[[#This Row],[Timepiece Reference ]], Table1[[Timepiece Reference ]], Table1[CRC STOCK], "Not Found")="YES", "CRC Stock", "Boutique Stock"))</f>
        <v>Boutique Stock</v>
      </c>
      <c r="K14" s="137" t="s">
        <v>6</v>
      </c>
      <c r="L14" s="140" t="s">
        <v>119</v>
      </c>
      <c r="M14" s="141" t="s">
        <v>88</v>
      </c>
      <c r="N14" s="137" t="s">
        <v>55</v>
      </c>
      <c r="O14" s="134" t="s">
        <v>120</v>
      </c>
      <c r="P14" s="94" t="str">
        <f>IFERROR(VLOOKUP(TRIM(O14), Collection!$B$2:$D$1001, 2, FALSE), "")</f>
        <v>Overseas self-winding</v>
      </c>
      <c r="Q14" s="190" t="str">
        <f>IFERROR(VLOOKUP(TRIM(O14), Collection!$B$2:$D$1001, 3, FALSE), "")</f>
        <v>94,500 AED</v>
      </c>
      <c r="R14" s="153">
        <f t="shared" si="0"/>
        <v>94500</v>
      </c>
      <c r="S14" s="154">
        <v>98700258</v>
      </c>
      <c r="T14" s="155"/>
      <c r="U14" s="137" t="s">
        <v>84</v>
      </c>
      <c r="V14" s="137"/>
      <c r="W14" s="156" t="str">
        <f t="shared" si="1"/>
        <v/>
      </c>
      <c r="X14" s="157" t="s">
        <v>70</v>
      </c>
      <c r="Y14" s="158"/>
      <c r="Z14" s="158"/>
      <c r="AA14" s="159" t="str">
        <f t="shared" ca="1" si="6"/>
        <v/>
      </c>
      <c r="AB14" s="159" t="str">
        <f t="shared" ca="1" si="2"/>
        <v>307 Days</v>
      </c>
      <c r="AC14" s="160">
        <f t="shared" ca="1" si="3"/>
        <v>165</v>
      </c>
      <c r="AD14" s="159" t="str">
        <f t="shared" ca="1" si="4"/>
        <v/>
      </c>
      <c r="AE14" s="163" t="s">
        <v>121</v>
      </c>
      <c r="AF14" s="161"/>
      <c r="AG14" s="161" t="s">
        <v>122</v>
      </c>
      <c r="AH14" s="137"/>
      <c r="AI14" s="164" t="str">
        <f t="shared" si="5"/>
        <v>April 2025</v>
      </c>
      <c r="AJ14" s="164" t="str">
        <f>IF(AND(OpenPendingCases[[#This Row],[Sale Status	]]="Open Sale",OpenPendingCases[[#This Row],[Potential Same Month]]="High"),TEXT(OpenPendingCases[[#This Row],[Request Entry Date]], "[$-en-us]mmmm"),"")</f>
        <v/>
      </c>
      <c r="AK14" s="165">
        <f>IFERROR(VALUE(SUBSTITUTE(OpenPendingCases[[#This Row],[Price]]," AED","")),"")</f>
        <v>94500</v>
      </c>
      <c r="AL14" s="165">
        <f>IFERROR(VALUE(LEFT(OpenPendingCases[[#This Row],[Price]],FIND(" ",OpenPendingCases[[#This Row],[Price]])-1)),"")</f>
        <v>94500</v>
      </c>
      <c r="AM14" s="165">
        <f>IFERROR(VALUE(_xlfn.TEXTBEFORE(OpenPendingCases[[#This Row],[Price]]," AED")),"")</f>
        <v>94500</v>
      </c>
      <c r="AN14" s="165"/>
    </row>
    <row r="15" spans="3:52" ht="130.5" hidden="1" customHeight="1" x14ac:dyDescent="0.35">
      <c r="C15" s="148">
        <v>15</v>
      </c>
      <c r="D15" s="137" t="str">
        <f>IF($U15="Open Sale", IF(MAX($D$4:D14)+1=0, "", MAX($D$4:D14)+1), "")</f>
        <v/>
      </c>
      <c r="E15" s="137" t="str">
        <f>IF($U15="Pending Allocation", IF(MAX($E$4:E14)+1=0, "", MAX($E$4:E14)+1), "")</f>
        <v/>
      </c>
      <c r="F15" s="134" t="s">
        <v>13</v>
      </c>
      <c r="G15" s="137"/>
      <c r="H15" s="150">
        <v>45610</v>
      </c>
      <c r="I15" s="150">
        <v>45752</v>
      </c>
      <c r="J15" s="68" t="str">
        <f>IF(OpenPendingCases[[#This Row],[Timepiece Reference ]]="", "", IF(_xlfn.XLOOKUP(OpenPendingCases[[#This Row],[Timepiece Reference ]], Table1[[Timepiece Reference ]], Table1[CRC STOCK], "Not Found")="YES", "CRC Stock", "Boutique Stock"))</f>
        <v>Boutique Stock</v>
      </c>
      <c r="K15" s="137" t="s">
        <v>6</v>
      </c>
      <c r="L15" s="140" t="s">
        <v>1</v>
      </c>
      <c r="M15" s="141" t="s">
        <v>3</v>
      </c>
      <c r="N15" s="137" t="s">
        <v>55</v>
      </c>
      <c r="O15" s="134" t="s">
        <v>14</v>
      </c>
      <c r="P15" s="94" t="str">
        <f>IFERROR(VLOOKUP(TRIM(O15), Collection!$B$2:$D$1001, 2, FALSE), "")</f>
        <v>Overseas quartz</v>
      </c>
      <c r="Q15" s="190" t="str">
        <f>IFERROR(VLOOKUP(TRIM(O15), Collection!$B$2:$D$1001, 3, FALSE), "")</f>
        <v>62,500 AED</v>
      </c>
      <c r="R15" s="153">
        <f t="shared" si="0"/>
        <v>62500</v>
      </c>
      <c r="S15" s="154">
        <v>105045200</v>
      </c>
      <c r="T15" s="155" t="s">
        <v>57</v>
      </c>
      <c r="U15" s="137" t="s">
        <v>69</v>
      </c>
      <c r="V15" s="137"/>
      <c r="W15" s="156" t="str">
        <f t="shared" si="1"/>
        <v/>
      </c>
      <c r="X15" s="157" t="s">
        <v>123</v>
      </c>
      <c r="Y15" s="158"/>
      <c r="Z15" s="158"/>
      <c r="AA15" s="159" t="str">
        <f t="shared" ca="1" si="6"/>
        <v/>
      </c>
      <c r="AB15" s="159" t="str">
        <f t="shared" ca="1" si="2"/>
        <v/>
      </c>
      <c r="AC15" s="160" t="str">
        <f t="shared" ca="1" si="3"/>
        <v/>
      </c>
      <c r="AD15" s="159" t="str">
        <f t="shared" ca="1" si="4"/>
        <v/>
      </c>
      <c r="AE15" s="163" t="s">
        <v>124</v>
      </c>
      <c r="AF15" s="161"/>
      <c r="AG15" s="161" t="s">
        <v>125</v>
      </c>
      <c r="AH15" s="137"/>
      <c r="AI15" s="164" t="str">
        <f t="shared" si="5"/>
        <v>April 2025</v>
      </c>
      <c r="AJ15" s="164" t="str">
        <f>IF(AND(OpenPendingCases[[#This Row],[Sale Status	]]="Open Sale",OpenPendingCases[[#This Row],[Potential Same Month]]="High"),TEXT(OpenPendingCases[[#This Row],[Request Entry Date]], "[$-en-us]mmmm"),"")</f>
        <v/>
      </c>
      <c r="AK15" s="165">
        <f>IFERROR(VALUE(SUBSTITUTE(OpenPendingCases[[#This Row],[Price]]," AED","")),"")</f>
        <v>62500</v>
      </c>
      <c r="AL15" s="165">
        <f>IFERROR(VALUE(LEFT(OpenPendingCases[[#This Row],[Price]],FIND(" ",OpenPendingCases[[#This Row],[Price]])-1)),"")</f>
        <v>62500</v>
      </c>
      <c r="AM15" s="165">
        <f>IFERROR(VALUE(_xlfn.TEXTBEFORE(OpenPendingCases[[#This Row],[Price]]," AED")),"")</f>
        <v>62500</v>
      </c>
      <c r="AN15" s="165"/>
    </row>
    <row r="16" spans="3:52" ht="130.5" hidden="1" customHeight="1" x14ac:dyDescent="0.35">
      <c r="C16" s="148">
        <v>16</v>
      </c>
      <c r="D16" s="137" t="str">
        <f>IF($U16="Open Sale", IF(MAX($D$4:D15)+1=0, "", MAX($D$4:D15)+1), "")</f>
        <v/>
      </c>
      <c r="E16" s="137" t="str">
        <f>IF($U16="Pending Allocation", IF(MAX($E$4:E15)+1=0, "", MAX($E$4:E15)+1), "")</f>
        <v/>
      </c>
      <c r="F16" s="134" t="s">
        <v>13</v>
      </c>
      <c r="G16" s="169" t="str">
        <f>IFERROR(VLOOKUP(ROWS($C15:G$28), 'SelloutPlan v1Main'!$D$5:$AC$208,12, FALSE), "")</f>
        <v/>
      </c>
      <c r="H16" s="150">
        <v>45610</v>
      </c>
      <c r="I16" s="150">
        <v>45755</v>
      </c>
      <c r="J16" s="68" t="str">
        <f>IF(OpenPendingCases[[#This Row],[Timepiece Reference ]]="", "", IF(_xlfn.XLOOKUP(OpenPendingCases[[#This Row],[Timepiece Reference ]], Table1[[Timepiece Reference ]], Table1[CRC STOCK], "Not Found")="YES", "CRC Stock", "Boutique Stock"))</f>
        <v>Boutique Stock</v>
      </c>
      <c r="K16" s="137" t="s">
        <v>6</v>
      </c>
      <c r="L16" s="140" t="s">
        <v>119</v>
      </c>
      <c r="M16" s="141" t="s">
        <v>79</v>
      </c>
      <c r="N16" s="137" t="s">
        <v>55</v>
      </c>
      <c r="O16" s="134" t="s">
        <v>14</v>
      </c>
      <c r="P16" s="94" t="str">
        <f>IFERROR(VLOOKUP(TRIM(O16), Collection!$B$2:$D$1001, 2, FALSE), "")</f>
        <v>Overseas quartz</v>
      </c>
      <c r="Q16" s="190" t="str">
        <f>IFERROR(VLOOKUP(TRIM(O16), Collection!$B$2:$D$1001, 3, FALSE), "")</f>
        <v>62,500 AED</v>
      </c>
      <c r="R16" s="153">
        <f t="shared" si="0"/>
        <v>62500</v>
      </c>
      <c r="S16" s="154">
        <v>105115716</v>
      </c>
      <c r="T16" s="155" t="s">
        <v>57</v>
      </c>
      <c r="U16" s="137" t="s">
        <v>73</v>
      </c>
      <c r="V16" s="137"/>
      <c r="W16" s="156" t="str">
        <f t="shared" si="1"/>
        <v/>
      </c>
      <c r="X16" s="157" t="s">
        <v>70</v>
      </c>
      <c r="Y16" s="158"/>
      <c r="Z16" s="158"/>
      <c r="AA16" s="159" t="str">
        <f t="shared" ca="1" si="6"/>
        <v/>
      </c>
      <c r="AB16" s="159" t="str">
        <f t="shared" ca="1" si="2"/>
        <v/>
      </c>
      <c r="AC16" s="160" t="str">
        <f t="shared" ca="1" si="3"/>
        <v/>
      </c>
      <c r="AD16" s="159" t="str">
        <f t="shared" ca="1" si="4"/>
        <v/>
      </c>
      <c r="AE16" s="163" t="s">
        <v>124</v>
      </c>
      <c r="AF16" s="161"/>
      <c r="AG16" s="161" t="s">
        <v>126</v>
      </c>
      <c r="AH16" s="137"/>
      <c r="AI16" s="164" t="str">
        <f t="shared" si="5"/>
        <v>April 2025</v>
      </c>
      <c r="AJ16" s="164" t="str">
        <f>IF(AND(OpenPendingCases[[#This Row],[Sale Status	]]="Open Sale",OpenPendingCases[[#This Row],[Potential Same Month]]="High"),TEXT(OpenPendingCases[[#This Row],[Request Entry Date]], "[$-en-us]mmmm"),"")</f>
        <v/>
      </c>
      <c r="AK16" s="165">
        <f>IFERROR(VALUE(SUBSTITUTE(OpenPendingCases[[#This Row],[Price]]," AED","")),"")</f>
        <v>62500</v>
      </c>
      <c r="AL16" s="165">
        <f>IFERROR(VALUE(LEFT(OpenPendingCases[[#This Row],[Price]],FIND(" ",OpenPendingCases[[#This Row],[Price]])-1)),"")</f>
        <v>62500</v>
      </c>
      <c r="AM16" s="165">
        <f>IFERROR(VALUE(_xlfn.TEXTBEFORE(OpenPendingCases[[#This Row],[Price]]," AED")),"")</f>
        <v>62500</v>
      </c>
      <c r="AN16" s="165"/>
    </row>
    <row r="17" spans="2:40" ht="130.5" hidden="1" customHeight="1" x14ac:dyDescent="0.35">
      <c r="C17" s="148">
        <v>17</v>
      </c>
      <c r="D17" s="137" t="str">
        <f>IF($U17="Open Sale", IF(MAX($D$4:D16)+1=0, "", MAX($D$4:D16)+1), "")</f>
        <v/>
      </c>
      <c r="E17" s="137" t="str">
        <f>IF($U17="Pending Allocation", IF(MAX($E$4:E16)+1=0, "", MAX($E$4:E16)+1), "")</f>
        <v/>
      </c>
      <c r="F17" s="134" t="s">
        <v>13</v>
      </c>
      <c r="G17" s="137" t="s">
        <v>127</v>
      </c>
      <c r="H17" s="150">
        <v>45519</v>
      </c>
      <c r="I17" s="150">
        <v>45515</v>
      </c>
      <c r="J17" s="68" t="str">
        <f>IF(OpenPendingCases[[#This Row],[Timepiece Reference ]]="", "", IF(_xlfn.XLOOKUP(OpenPendingCases[[#This Row],[Timepiece Reference ]], Table1[[Timepiece Reference ]], Table1[CRC STOCK], "Not Found")="YES", "CRC Stock", "Boutique Stock"))</f>
        <v>Boutique Stock</v>
      </c>
      <c r="K17" s="137" t="s">
        <v>78</v>
      </c>
      <c r="L17" s="140" t="s">
        <v>1</v>
      </c>
      <c r="M17" s="141" t="s">
        <v>88</v>
      </c>
      <c r="N17" s="137" t="s">
        <v>55</v>
      </c>
      <c r="O17" s="134" t="s">
        <v>128</v>
      </c>
      <c r="P17" s="94" t="str">
        <f>IFERROR(VLOOKUP(TRIM(O17), Collection!$B$2:$D$1001, 2, FALSE), "")</f>
        <v>Overseas chronograph Pink Gold</v>
      </c>
      <c r="Q17" s="190" t="str">
        <f>IFERROR(VLOOKUP(TRIM(O17), Collection!$B$2:$D$1001, 3, FALSE), "")</f>
        <v>299,000 AED</v>
      </c>
      <c r="R17" s="153">
        <f t="shared" si="0"/>
        <v>299000</v>
      </c>
      <c r="S17" s="154">
        <v>101110183</v>
      </c>
      <c r="T17" s="155" t="s">
        <v>57</v>
      </c>
      <c r="U17" s="137" t="s">
        <v>73</v>
      </c>
      <c r="V17" s="137"/>
      <c r="W17" s="156" t="str">
        <f t="shared" si="1"/>
        <v/>
      </c>
      <c r="X17" s="157" t="s">
        <v>129</v>
      </c>
      <c r="Y17" s="158"/>
      <c r="Z17" s="158"/>
      <c r="AA17" s="159" t="str">
        <f t="shared" ca="1" si="6"/>
        <v>280 Days</v>
      </c>
      <c r="AB17" s="159" t="str">
        <f t="shared" ca="1" si="2"/>
        <v/>
      </c>
      <c r="AC17" s="160" t="str">
        <f t="shared" ca="1" si="3"/>
        <v/>
      </c>
      <c r="AD17" s="159" t="str">
        <f t="shared" ca="1" si="4"/>
        <v/>
      </c>
      <c r="AE17" s="163" t="s">
        <v>130</v>
      </c>
      <c r="AF17" s="161" t="s">
        <v>131</v>
      </c>
      <c r="AG17" s="161"/>
      <c r="AH17" s="137"/>
      <c r="AI17" s="164" t="str">
        <f t="shared" si="5"/>
        <v>August 2024</v>
      </c>
      <c r="AJ17" s="164" t="str">
        <f>IF(AND(OpenPendingCases[[#This Row],[Sale Status	]]="Open Sale",OpenPendingCases[[#This Row],[Potential Same Month]]="High"),TEXT(OpenPendingCases[[#This Row],[Request Entry Date]], "[$-en-us]mmmm"),"")</f>
        <v/>
      </c>
      <c r="AK17" s="165">
        <f>IFERROR(VALUE(SUBSTITUTE(OpenPendingCases[[#This Row],[Price]]," AED","")),"")</f>
        <v>299000</v>
      </c>
      <c r="AL17" s="165">
        <f>IFERROR(VALUE(LEFT(OpenPendingCases[[#This Row],[Price]],FIND(" ",OpenPendingCases[[#This Row],[Price]])-1)),"")</f>
        <v>299000</v>
      </c>
      <c r="AM17" s="165">
        <f>IFERROR(VALUE(_xlfn.TEXTBEFORE(OpenPendingCases[[#This Row],[Price]]," AED")),"")</f>
        <v>299000</v>
      </c>
      <c r="AN17" s="165"/>
    </row>
    <row r="18" spans="2:40" ht="130.5" hidden="1" customHeight="1" x14ac:dyDescent="0.35">
      <c r="C18" s="134"/>
      <c r="D18" s="137" t="str">
        <f>IF($U18="Open", IF(MAX($D$4:D17)+1=0, "", MAX($D$4:D17)+1), "")</f>
        <v/>
      </c>
      <c r="E18" s="137" t="str">
        <f>IF($U18="Pending Allocation", IF(MAX($E$4:E17)+1=0, "", MAX($E$4:E17)+1), "")</f>
        <v/>
      </c>
      <c r="F18" s="134" t="s">
        <v>13</v>
      </c>
      <c r="G18" s="137"/>
      <c r="H18" s="150">
        <v>45821</v>
      </c>
      <c r="I18" s="150">
        <v>45821</v>
      </c>
      <c r="J18" s="151" t="str">
        <f>IF(OpenPendingCases[[#This Row],[Timepiece Reference ]]="", "", IF(_xlfn.XLOOKUP(OpenPendingCases[[#This Row],[Timepiece Reference ]], Table1[[Timepiece Reference ]], Table1[CRC STOCK], "Not Found")="YES", "CRC Stock", "Boutique Stock"))</f>
        <v>Boutique Stock</v>
      </c>
      <c r="K18" s="137" t="str">
        <f>IF(OpenPendingCases[[#This Row],[Timepiece Reference ]]="", "", IF(_xlfn.XLOOKUP(OpenPendingCases[[#This Row],[Timepiece Reference ]], Table1[[Timepiece Reference ]], Table1[CRC STOCK], "Not Found")="YES", "CRC Stock", "Boutique Stock"))</f>
        <v>Boutique Stock</v>
      </c>
      <c r="L18" s="199"/>
      <c r="M18" s="141" t="s">
        <v>88</v>
      </c>
      <c r="N18" s="137" t="s">
        <v>55</v>
      </c>
      <c r="O18" s="134" t="s">
        <v>132</v>
      </c>
      <c r="P18" s="137" t="str">
        <f>IFERROR(VLOOKUP(TRIM(O18), Collection!$B$2:$D$1001, 2, FALSE), "")</f>
        <v>Overseas moon phase retrograde date</v>
      </c>
      <c r="Q18" s="152" t="str">
        <f>IFERROR(VLOOKUP(TRIM(O18), Collection!$B$2:$D$1001, 3, FALSE), "")</f>
        <v>166,000 AED</v>
      </c>
      <c r="R18" s="153">
        <f>IFERROR(VALUE(SUBSTITUTE(SUBSTITUTE(Q18, "Price", ""), "AED", "")), "")</f>
        <v>166000</v>
      </c>
      <c r="S18" s="168">
        <v>106652874</v>
      </c>
      <c r="T18" s="183"/>
      <c r="U18" s="137" t="s">
        <v>69</v>
      </c>
      <c r="V18" s="137"/>
      <c r="W18" s="156" t="s">
        <v>112</v>
      </c>
      <c r="X18" s="157" t="s">
        <v>70</v>
      </c>
      <c r="Y18" s="158" t="s">
        <v>133</v>
      </c>
      <c r="Z18" s="158"/>
      <c r="AA18" s="137" t="str">
        <f ca="1">IF(H18="", "", IF(U18="Open Sale", IF(TODAY()-H18=0, "0 Days", TEXT(TODAY()-H18, "0") &amp; " Days"), IF(U18="Closed Sale", AA18, "")))</f>
        <v/>
      </c>
      <c r="AB18" s="137" t="str">
        <f ca="1">IF(H18="", "", IF(OR(U18="Pending", U18="Pending Allocation"), CONCATENATE(TODAY()-H18, " Days"), IF(U18="Closed", "", "")))</f>
        <v/>
      </c>
      <c r="AC18" s="160" t="str">
        <f ca="1">IF(U18="Pending Allocation", IF(I18="", "", TODAY()-I18), "")</f>
        <v/>
      </c>
      <c r="AD18" s="159" t="str">
        <f ca="1">IF(U18="Open Sale", TEXT(TODAY()-I18, "0"),
   IF(U18="Pending", "",
      IF(U18="Closed Sale", "", "")))</f>
        <v/>
      </c>
      <c r="AE18" s="163"/>
      <c r="AF18" s="161" t="s">
        <v>134</v>
      </c>
      <c r="AG18" s="161" t="s">
        <v>86</v>
      </c>
      <c r="AH18" s="137"/>
      <c r="AI18" s="164" t="str">
        <f>TEXT(I18, "mmmm yyyy")</f>
        <v>June 2025</v>
      </c>
      <c r="AJ18" s="189" t="str">
        <f>IF(AND(OpenPendingCases[[#This Row],[Sale Status	]]="Open Sale",OpenPendingCases[[#This Row],[Potential Same Month]]="High"),TEXT(OpenPendingCases[[#This Row],[Request Entry Date]], "[$-en-us]mmmm"),"")</f>
        <v/>
      </c>
      <c r="AK18" s="165">
        <f>IFERROR(VALUE(SUBSTITUTE(OpenPendingCases[[#This Row],[Price]]," AED","")),"")</f>
        <v>166000</v>
      </c>
      <c r="AL18" s="165">
        <f>IFERROR(VALUE(LEFT(OpenPendingCases[[#This Row],[Price]],FIND(" ",OpenPendingCases[[#This Row],[Price]])-1)),"")</f>
        <v>166000</v>
      </c>
      <c r="AM18" s="165">
        <f>IFERROR(VALUE(_xlfn.TEXTBEFORE(OpenPendingCases[[#This Row],[Price]]," AED")),"")</f>
        <v>166000</v>
      </c>
      <c r="AN18" s="165"/>
    </row>
    <row r="19" spans="2:40" ht="130.5" hidden="1" customHeight="1" x14ac:dyDescent="0.35">
      <c r="C19" s="134">
        <v>17</v>
      </c>
      <c r="D19" s="137" t="str">
        <f>IF($U19="Open", IF(MAX($D$4:D17)+1=0, "", MAX($D$4:D17)+1), "")</f>
        <v/>
      </c>
      <c r="E19" s="137" t="str">
        <f>IF($U19="Pending Allocation", IF(MAX($E$4:E17)+1=0, "", MAX($E$4:E17)+1), "")</f>
        <v/>
      </c>
      <c r="F19" s="134" t="s">
        <v>13</v>
      </c>
      <c r="G19" s="137"/>
      <c r="H19" s="150">
        <v>45937</v>
      </c>
      <c r="I19" s="150">
        <v>45937</v>
      </c>
      <c r="J19" s="68" t="str">
        <f>IF(OpenPendingCases[[#This Row],[Timepiece Reference ]]="", "", IF(_xlfn.XLOOKUP(OpenPendingCases[[#This Row],[Timepiece Reference ]], Table1[[Timepiece Reference ]], Table1[CRC STOCK], "Not Found")="YES", "CRC Stock", "Boutique Stock"))</f>
        <v>CRC Stock</v>
      </c>
      <c r="K19" s="137" t="s">
        <v>6</v>
      </c>
      <c r="L19" s="199" t="s">
        <v>1</v>
      </c>
      <c r="M19" s="141"/>
      <c r="N19" s="137" t="s">
        <v>55</v>
      </c>
      <c r="O19" s="134" t="s">
        <v>16</v>
      </c>
      <c r="P19" s="137" t="str">
        <f>IFERROR(VLOOKUP(TRIM(O19), Collection!$B$2:$D$1001, 2, FALSE), "")</f>
        <v>Overseas chronograph</v>
      </c>
      <c r="Q19" s="152" t="str">
        <f>IFERROR(VLOOKUP(TRIM(O19), Collection!$B$2:$D$1001, 3, FALSE), "")</f>
        <v>135,000 AED</v>
      </c>
      <c r="R19" s="153">
        <f>IFERROR(VALUE(SUBSTITUTE(SUBSTITUTE(Q19, "Price", ""), "AED", "")), "")</f>
        <v>135000</v>
      </c>
      <c r="S19" s="168">
        <v>92407646</v>
      </c>
      <c r="T19" s="183"/>
      <c r="U19" s="137" t="s">
        <v>69</v>
      </c>
      <c r="V19" s="137"/>
      <c r="W19" s="156" t="s">
        <v>112</v>
      </c>
      <c r="X19" s="157" t="s">
        <v>106</v>
      </c>
      <c r="Y19" s="158" t="s">
        <v>135</v>
      </c>
      <c r="Z19" s="158"/>
      <c r="AA19" s="137" t="str">
        <f ca="1">IF(H19="", "", IF(U19="Open Sale", IF(TODAY()-H19=0, "0 Days", TEXT(TODAY()-H19, "0") &amp; " Days"), IF(U19="Closed Sale", AA19, "")))</f>
        <v/>
      </c>
      <c r="AB19" s="137" t="str">
        <f ca="1">IF(H19="", "", IF(OR(U19="Pending", U19="Pending Allocation"), CONCATENATE(TODAY()-H19, " Days"), IF(U19="Closed", "", "")))</f>
        <v/>
      </c>
      <c r="AC19" s="160" t="str">
        <f ca="1">IF(U19="Pending Allocation", IF(I19="", "", TODAY()-I19), "")</f>
        <v/>
      </c>
      <c r="AD19" s="159" t="str">
        <f ca="1">IF(U19="Open Sale", TEXT(TODAY()-I19, "0"),
   IF(U19="Pending", "",
      IF(U19="Closed Sale", "", "")))</f>
        <v/>
      </c>
      <c r="AE19" s="163"/>
      <c r="AF19" s="161"/>
      <c r="AG19" s="161"/>
      <c r="AH19" s="137"/>
      <c r="AI19" s="164" t="str">
        <f>TEXT(I19, "mmmm yyyy")</f>
        <v>October 2025</v>
      </c>
      <c r="AJ19" s="189" t="str">
        <f>IF(AND(OpenPendingCases[[#This Row],[Sale Status	]]="Open Sale",OpenPendingCases[[#This Row],[Potential Same Month]]="High"),TEXT(OpenPendingCases[[#This Row],[Request Entry Date]], "[$-en-us]mmmm"),"")</f>
        <v/>
      </c>
      <c r="AK19" s="165">
        <f>IFERROR(VALUE(SUBSTITUTE(OpenPendingCases[[#This Row],[Price]]," AED","")),"")</f>
        <v>135000</v>
      </c>
      <c r="AL19" s="165">
        <f>IFERROR(VALUE(LEFT(OpenPendingCases[[#This Row],[Price]],FIND(" ",OpenPendingCases[[#This Row],[Price]])-1)),"")</f>
        <v>135000</v>
      </c>
      <c r="AM19" s="165">
        <f>IFERROR(VALUE(_xlfn.TEXTBEFORE(OpenPendingCases[[#This Row],[Price]]," AED")),"")</f>
        <v>135000</v>
      </c>
      <c r="AN19" s="165"/>
    </row>
    <row r="20" spans="2:40" ht="130.5" customHeight="1" x14ac:dyDescent="0.35">
      <c r="C20" s="148">
        <v>18</v>
      </c>
      <c r="D20" s="137" t="str">
        <f>IF($U20="Open Sale", IF(MAX($D$4:D17)+1=0, "", MAX($D$4:D17)+1), "")</f>
        <v/>
      </c>
      <c r="E20" s="137">
        <f>IF($U20="Pending Allocation", IF(MAX($E$4:E17)+1=0, "", MAX($E$4:E17)+1), "")</f>
        <v>2</v>
      </c>
      <c r="F20" s="134" t="s">
        <v>13</v>
      </c>
      <c r="G20" s="137" t="s">
        <v>136</v>
      </c>
      <c r="H20" s="150">
        <v>45678</v>
      </c>
      <c r="I20" s="150">
        <v>45675</v>
      </c>
      <c r="J20" s="68" t="str">
        <f>IF(OpenPendingCases[[#This Row],[Timepiece Reference ]]="", "", IF(_xlfn.XLOOKUP(OpenPendingCases[[#This Row],[Timepiece Reference ]], Table1[[Timepiece Reference ]], Table1[CRC STOCK], "Not Found")="YES", "CRC Stock", "Boutique Stock"))</f>
        <v>Boutique Stock</v>
      </c>
      <c r="K20" s="137" t="s">
        <v>6</v>
      </c>
      <c r="L20" s="140" t="s">
        <v>119</v>
      </c>
      <c r="M20" s="141" t="s">
        <v>79</v>
      </c>
      <c r="N20" s="137" t="s">
        <v>55</v>
      </c>
      <c r="O20" s="134" t="s">
        <v>137</v>
      </c>
      <c r="P20" s="94" t="str">
        <f>IFERROR(VLOOKUP(TRIM(O20), Collection!$B$2:$D$1001, 2, FALSE), "")</f>
        <v>Historiques American 1921 - Arabic</v>
      </c>
      <c r="Q20" s="190" t="str">
        <f>IFERROR(VLOOKUP(TRIM(O20), Collection!$B$2:$D$1001, 3, FALSE), "")</f>
        <v>192,000 AED</v>
      </c>
      <c r="R20" s="153">
        <f t="shared" si="0"/>
        <v>192000</v>
      </c>
      <c r="S20" s="154">
        <v>103531883</v>
      </c>
      <c r="T20" s="155" t="s">
        <v>57</v>
      </c>
      <c r="U20" s="137" t="s">
        <v>84</v>
      </c>
      <c r="V20" s="137"/>
      <c r="W20" s="156" t="str">
        <f t="shared" si="1"/>
        <v/>
      </c>
      <c r="X20" s="157"/>
      <c r="Y20" s="158"/>
      <c r="Z20" s="158"/>
      <c r="AA20" s="159" t="str">
        <f t="shared" ca="1" si="6"/>
        <v/>
      </c>
      <c r="AB20" s="159" t="str">
        <f t="shared" ca="1" si="2"/>
        <v>239 Days</v>
      </c>
      <c r="AC20" s="160">
        <f t="shared" ca="1" si="3"/>
        <v>242</v>
      </c>
      <c r="AD20" s="159" t="str">
        <f t="shared" ca="1" si="4"/>
        <v/>
      </c>
      <c r="AE20" s="163" t="s">
        <v>138</v>
      </c>
      <c r="AF20" s="161"/>
      <c r="AG20" s="161" t="s">
        <v>139</v>
      </c>
      <c r="AH20" s="137"/>
      <c r="AI20" s="164" t="str">
        <f t="shared" si="5"/>
        <v>January 2025</v>
      </c>
      <c r="AJ20" s="164" t="str">
        <f>IF(AND(OpenPendingCases[[#This Row],[Sale Status	]]="Open Sale",OpenPendingCases[[#This Row],[Potential Same Month]]="High"),TEXT(OpenPendingCases[[#This Row],[Request Entry Date]], "[$-en-us]mmmm"),"")</f>
        <v/>
      </c>
      <c r="AK20" s="165">
        <f>IFERROR(VALUE(SUBSTITUTE(OpenPendingCases[[#This Row],[Price]]," AED","")),"")</f>
        <v>192000</v>
      </c>
      <c r="AL20" s="165">
        <f>IFERROR(VALUE(LEFT(OpenPendingCases[[#This Row],[Price]],FIND(" ",OpenPendingCases[[#This Row],[Price]])-1)),"")</f>
        <v>192000</v>
      </c>
      <c r="AM20" s="165">
        <f>IFERROR(VALUE(_xlfn.TEXTBEFORE(OpenPendingCases[[#This Row],[Price]]," AED")),"")</f>
        <v>192000</v>
      </c>
      <c r="AN20" s="165"/>
    </row>
    <row r="21" spans="2:40" ht="130.5" hidden="1" customHeight="1" x14ac:dyDescent="0.35">
      <c r="C21" s="148">
        <v>19</v>
      </c>
      <c r="D21" s="137" t="str">
        <f>IF($U21="Open Sale", IF(MAX($D$4:D20)+1=0, "", MAX($D$4:D20)+1), "")</f>
        <v/>
      </c>
      <c r="E21" s="137" t="str">
        <f>IF($U21="Pending Allocation", IF(MAX($E$4:E20)+1=0, "", MAX($E$4:E20)+1), "")</f>
        <v/>
      </c>
      <c r="F21" s="134" t="s">
        <v>13</v>
      </c>
      <c r="G21" s="137"/>
      <c r="H21" s="150">
        <v>45757</v>
      </c>
      <c r="I21" s="150">
        <v>45757</v>
      </c>
      <c r="J21" s="68" t="str">
        <f>IF(OpenPendingCases[[#This Row],[Timepiece Reference ]]="", "", IF(_xlfn.XLOOKUP(OpenPendingCases[[#This Row],[Timepiece Reference ]], Table1[[Timepiece Reference ]], Table1[CRC STOCK], "Not Found")="YES", "CRC Stock", "Boutique Stock"))</f>
        <v>Boutique Stock</v>
      </c>
      <c r="K21" s="137" t="s">
        <v>78</v>
      </c>
      <c r="L21" s="140" t="s">
        <v>67</v>
      </c>
      <c r="M21" s="141" t="s">
        <v>88</v>
      </c>
      <c r="N21" s="137" t="s">
        <v>55</v>
      </c>
      <c r="O21" s="134" t="s">
        <v>132</v>
      </c>
      <c r="P21" s="94" t="str">
        <f>IFERROR(VLOOKUP(TRIM(O21), Collection!$B$2:$D$1001, 2, FALSE), "")</f>
        <v>Overseas moon phase retrograde date</v>
      </c>
      <c r="Q21" s="190" t="str">
        <f>IFERROR(VLOOKUP(TRIM(O21), Collection!$B$2:$D$1001, 3, FALSE), "")</f>
        <v>166,000 AED</v>
      </c>
      <c r="R21" s="153">
        <f t="shared" si="0"/>
        <v>166000</v>
      </c>
      <c r="S21" s="154">
        <v>103713756</v>
      </c>
      <c r="T21" s="155" t="s">
        <v>57</v>
      </c>
      <c r="U21" s="137" t="s">
        <v>69</v>
      </c>
      <c r="V21" s="137"/>
      <c r="W21" s="156" t="str">
        <f t="shared" si="1"/>
        <v/>
      </c>
      <c r="X21" s="157" t="s">
        <v>106</v>
      </c>
      <c r="Y21" s="158"/>
      <c r="Z21" s="170"/>
      <c r="AA21" s="159" t="str">
        <f t="shared" ca="1" si="6"/>
        <v/>
      </c>
      <c r="AB21" s="159" t="str">
        <f t="shared" ca="1" si="2"/>
        <v/>
      </c>
      <c r="AC21" s="160" t="str">
        <f t="shared" ca="1" si="3"/>
        <v/>
      </c>
      <c r="AD21" s="159" t="str">
        <f t="shared" ca="1" si="4"/>
        <v/>
      </c>
      <c r="AE21" s="163" t="s">
        <v>140</v>
      </c>
      <c r="AF21" s="161"/>
      <c r="AG21" s="161"/>
      <c r="AH21" s="137"/>
      <c r="AI21" s="164" t="str">
        <f t="shared" si="5"/>
        <v>April 2025</v>
      </c>
      <c r="AJ21" s="164" t="str">
        <f>IF(AND(OpenPendingCases[[#This Row],[Sale Status	]]="Open Sale",OpenPendingCases[[#This Row],[Potential Same Month]]="High"),TEXT(OpenPendingCases[[#This Row],[Request Entry Date]], "[$-en-us]mmmm"),"")</f>
        <v/>
      </c>
      <c r="AK21" s="165">
        <f>IFERROR(VALUE(SUBSTITUTE(OpenPendingCases[[#This Row],[Price]]," AED","")),"")</f>
        <v>166000</v>
      </c>
      <c r="AL21" s="165">
        <f>IFERROR(VALUE(LEFT(OpenPendingCases[[#This Row],[Price]],FIND(" ",OpenPendingCases[[#This Row],[Price]])-1)),"")</f>
        <v>166000</v>
      </c>
      <c r="AM21" s="165">
        <f>IFERROR(VALUE(_xlfn.TEXTBEFORE(OpenPendingCases[[#This Row],[Price]]," AED")),"")</f>
        <v>166000</v>
      </c>
      <c r="AN21" s="165"/>
    </row>
    <row r="22" spans="2:40" s="200" customFormat="1" ht="130.5" hidden="1" customHeight="1" x14ac:dyDescent="0.35">
      <c r="B22" s="198"/>
      <c r="C22" s="148">
        <v>20</v>
      </c>
      <c r="D22" s="182" t="str">
        <f>IF($U22="Open Sale", IF(MAX($D$4:D21)+1=0, "", MAX($D$4:D21)+1), "")</f>
        <v/>
      </c>
      <c r="E22" s="182" t="str">
        <f>IF($U22="Pending Allocation", IF(MAX($E$4:E21)+1=0, "", MAX($E$4:E21)+1), "")</f>
        <v/>
      </c>
      <c r="F22" s="134" t="s">
        <v>13</v>
      </c>
      <c r="G22" s="171">
        <v>45763</v>
      </c>
      <c r="H22" s="171">
        <v>45763</v>
      </c>
      <c r="I22" s="150">
        <v>45763</v>
      </c>
      <c r="J22" s="193" t="str">
        <f>IF(OpenPendingCases[[#This Row],[Timepiece Reference ]]="", "", IF(_xlfn.XLOOKUP(OpenPendingCases[[#This Row],[Timepiece Reference ]], Table1[[Timepiece Reference ]], Table1[CRC STOCK], "Not Found")="YES", "CRC Stock", "Boutique Stock"))</f>
        <v>Boutique Stock</v>
      </c>
      <c r="K22" s="138" t="s">
        <v>78</v>
      </c>
      <c r="L22" s="201" t="s">
        <v>1</v>
      </c>
      <c r="M22" s="142" t="s">
        <v>88</v>
      </c>
      <c r="N22" s="137" t="s">
        <v>55</v>
      </c>
      <c r="O22" s="134" t="s">
        <v>132</v>
      </c>
      <c r="P22" s="94" t="str">
        <f>IFERROR(VLOOKUP(TRIM(O22), Collection!$B$2:$D$1001, 2, FALSE), "")</f>
        <v>Overseas moon phase retrograde date</v>
      </c>
      <c r="Q22" s="190" t="str">
        <f>IFERROR(VLOOKUP(TRIM(O22), Collection!$B$2:$D$1001, 3, FALSE), "")</f>
        <v>166,000 AED</v>
      </c>
      <c r="R22" s="194">
        <f>IFERROR(VALUE(SUBSTITUTE(SUBSTITUTE(Q22, "Price", ""), "AED", "")), "")</f>
        <v>166000</v>
      </c>
      <c r="S22" s="174">
        <v>103591723</v>
      </c>
      <c r="T22" s="155" t="s">
        <v>57</v>
      </c>
      <c r="U22" s="137" t="s">
        <v>69</v>
      </c>
      <c r="V22" s="137"/>
      <c r="W22" s="202" t="s">
        <v>112</v>
      </c>
      <c r="X22" s="157" t="s">
        <v>70</v>
      </c>
      <c r="Y22" s="175"/>
      <c r="Z22" s="175"/>
      <c r="AA22" s="192" t="str">
        <f ca="1">IF(H22="", "", IF(U22="Open Sale", IF(TODAY()-H22=0, "0 Days", TEXT(TODAY()-H22, "0") &amp; " Days"), IF(U22="Closed Sale", AA22, "")))</f>
        <v/>
      </c>
      <c r="AB22" s="192" t="str">
        <f ca="1">IF(H22="", "", IF(OR(U22="Pending", U22="Pending Allocation"), CONCATENATE(TODAY()-H22, " Days"), IF(U22="Closed", "", "")))</f>
        <v/>
      </c>
      <c r="AC22" s="176" t="str">
        <f ca="1">IF(U22="Pending Allocation", IF(I22="", "", TODAY()-I22), "")</f>
        <v/>
      </c>
      <c r="AD22" s="195" t="str">
        <f ca="1">IF(U22="Open Sale", TEXT(TODAY()-I22, "0"),
   IF(U22="Pending", "",
      IF(U22="Closed Sale", "", "")))</f>
        <v/>
      </c>
      <c r="AE22" s="161" t="s">
        <v>141</v>
      </c>
      <c r="AF22" s="161" t="s">
        <v>91</v>
      </c>
      <c r="AG22" s="178" t="s">
        <v>142</v>
      </c>
      <c r="AH22" s="137"/>
      <c r="AI22" s="196" t="str">
        <f>IF(I22="","",TEXT(I22, "mmmm yyyy"))</f>
        <v>April 2025</v>
      </c>
      <c r="AJ22" s="196" t="str">
        <f>IF(AND(OpenPendingCases[[#This Row],[Sale Status	]]="Open Sale",OpenPendingCases[[#This Row],[Potential Same Month]]="High"),TEXT(OpenPendingCases[[#This Row],[Request Entry Date]], "[$-en-us]mmmm"),"")</f>
        <v/>
      </c>
      <c r="AK22" s="197">
        <f>IFERROR(VALUE(SUBSTITUTE(OpenPendingCases[[#This Row],[Price]]," AED","")),"")</f>
        <v>166000</v>
      </c>
      <c r="AL22" s="197">
        <f>IFERROR(VALUE(LEFT(OpenPendingCases[[#This Row],[Price]],FIND(" ",OpenPendingCases[[#This Row],[Price]])-1)),"")</f>
        <v>166000</v>
      </c>
      <c r="AM22" s="197">
        <f>IFERROR(VALUE(_xlfn.TEXTBEFORE(OpenPendingCases[[#This Row],[Price]]," AED")),"")</f>
        <v>166000</v>
      </c>
      <c r="AN22" s="165"/>
    </row>
    <row r="23" spans="2:40" ht="130.5" hidden="1" customHeight="1" x14ac:dyDescent="0.35">
      <c r="C23" s="148">
        <v>21</v>
      </c>
      <c r="D23" s="137" t="str">
        <f>IF($U23="Open Sale", IF(MAX($D$4:D22)+1=0, "", MAX($D$4:D22)+1), "")</f>
        <v/>
      </c>
      <c r="E23" s="137" t="str">
        <f>IF($U23="Pending Allocation", IF(MAX($E$4:E22)+1=0, "", MAX($E$4:E22)+1), "")</f>
        <v/>
      </c>
      <c r="F23" s="134" t="s">
        <v>53</v>
      </c>
      <c r="G23" s="134" t="s">
        <v>143</v>
      </c>
      <c r="H23" s="150">
        <v>45728</v>
      </c>
      <c r="I23" s="150">
        <v>45728</v>
      </c>
      <c r="J23" s="68" t="str">
        <f>IF(OpenPendingCases[[#This Row],[Timepiece Reference ]]="", "", IF(_xlfn.XLOOKUP(OpenPendingCases[[#This Row],[Timepiece Reference ]], Table1[[Timepiece Reference ]], Table1[CRC STOCK], "Not Found")="YES", "CRC Stock", "Boutique Stock"))</f>
        <v>Boutique Stock</v>
      </c>
      <c r="K23" s="137" t="s">
        <v>78</v>
      </c>
      <c r="L23" s="140" t="s">
        <v>67</v>
      </c>
      <c r="M23" s="141" t="s">
        <v>3</v>
      </c>
      <c r="N23" s="137" t="s">
        <v>55</v>
      </c>
      <c r="O23" s="134" t="s">
        <v>132</v>
      </c>
      <c r="P23" s="94" t="str">
        <f>IFERROR(VLOOKUP(TRIM(O23), Collection!$B$2:$D$1001, 2, FALSE), "")</f>
        <v>Overseas moon phase retrograde date</v>
      </c>
      <c r="Q23" s="190" t="str">
        <f>IFERROR(VLOOKUP(TRIM(O23), Collection!$B$2:$D$1001, 3, FALSE), "")</f>
        <v>166,000 AED</v>
      </c>
      <c r="R23" s="153">
        <f t="shared" si="0"/>
        <v>166000</v>
      </c>
      <c r="S23" s="154">
        <v>104559752</v>
      </c>
      <c r="T23" s="155" t="s">
        <v>57</v>
      </c>
      <c r="U23" s="137" t="s">
        <v>69</v>
      </c>
      <c r="V23" s="137"/>
      <c r="W23" s="156" t="str">
        <f t="shared" si="1"/>
        <v/>
      </c>
      <c r="X23" s="157" t="s">
        <v>129</v>
      </c>
      <c r="Y23" s="158"/>
      <c r="Z23" s="170"/>
      <c r="AA23" s="137" t="str">
        <f t="shared" ca="1" si="6"/>
        <v/>
      </c>
      <c r="AB23" s="137" t="str">
        <f t="shared" ca="1" si="2"/>
        <v/>
      </c>
      <c r="AC23" s="160" t="str">
        <f t="shared" ca="1" si="3"/>
        <v/>
      </c>
      <c r="AD23" s="159" t="str">
        <f t="shared" ca="1" si="4"/>
        <v/>
      </c>
      <c r="AE23" s="163" t="s">
        <v>144</v>
      </c>
      <c r="AF23" s="161" t="s">
        <v>91</v>
      </c>
      <c r="AG23" s="161" t="s">
        <v>145</v>
      </c>
      <c r="AH23" s="137"/>
      <c r="AI23" s="164" t="str">
        <f t="shared" ref="AI23:AI85" si="7">IF(I23="","",TEXT(I23, "mmmm yyyy"))</f>
        <v>March 2025</v>
      </c>
      <c r="AJ23" s="164" t="str">
        <f>IF(AND(OpenPendingCases[[#This Row],[Sale Status	]]="Open Sale",OpenPendingCases[[#This Row],[Potential Same Month]]="High"),TEXT(OpenPendingCases[[#This Row],[Request Entry Date]], "[$-en-us]mmmm"),"")</f>
        <v/>
      </c>
      <c r="AK23" s="165">
        <f>IFERROR(VALUE(SUBSTITUTE(OpenPendingCases[[#This Row],[Price]]," AED","")),"")</f>
        <v>166000</v>
      </c>
      <c r="AL23" s="165">
        <f>IFERROR(VALUE(LEFT(OpenPendingCases[[#This Row],[Price]],FIND(" ",OpenPendingCases[[#This Row],[Price]])-1)),"")</f>
        <v>166000</v>
      </c>
      <c r="AM23" s="165">
        <f>IFERROR(VALUE(_xlfn.TEXTBEFORE(OpenPendingCases[[#This Row],[Price]]," AED")),"")</f>
        <v>166000</v>
      </c>
      <c r="AN23" s="165"/>
    </row>
    <row r="24" spans="2:40" ht="54" hidden="1" x14ac:dyDescent="0.35">
      <c r="C24" s="148">
        <v>22</v>
      </c>
      <c r="D24" s="137" t="str">
        <f>IF($U24="Open Sale", IF(MAX($D$4:D23)+1=0, "", MAX($D$4:D23)+1), "")</f>
        <v/>
      </c>
      <c r="E24" s="137" t="str">
        <f>IF($U24="Pending Allocation", IF(MAX($E$4:E23)+1=0, "", MAX($E$4:E23)+1), "")</f>
        <v/>
      </c>
      <c r="F24" s="134" t="s">
        <v>13</v>
      </c>
      <c r="G24" s="134" t="s">
        <v>146</v>
      </c>
      <c r="H24" s="150">
        <v>45772</v>
      </c>
      <c r="I24" s="150">
        <v>45772</v>
      </c>
      <c r="J24" s="68" t="str">
        <f>IF(OpenPendingCases[[#This Row],[Timepiece Reference ]]="", "", IF(_xlfn.XLOOKUP(OpenPendingCases[[#This Row],[Timepiece Reference ]], Table1[[Timepiece Reference ]], Table1[CRC STOCK], "Not Found")="YES", "CRC Stock", "Boutique Stock"))</f>
        <v>CRC Stock</v>
      </c>
      <c r="K24" s="137" t="s">
        <v>6</v>
      </c>
      <c r="L24" s="140" t="s">
        <v>67</v>
      </c>
      <c r="M24" s="141" t="s">
        <v>88</v>
      </c>
      <c r="N24" s="137" t="s">
        <v>55</v>
      </c>
      <c r="O24" s="134" t="s">
        <v>147</v>
      </c>
      <c r="P24" s="94" t="str">
        <f>IFERROR(VLOOKUP(TRIM(O24), Collection!$B$2:$D$1001, 2, FALSE), "")</f>
        <v>Overseas dual time Green</v>
      </c>
      <c r="Q24" s="190" t="str">
        <f>IFERROR(VLOOKUP(TRIM(O24), Collection!$B$2:$D$1001, 3, FALSE), "")</f>
        <v>286,000 AED</v>
      </c>
      <c r="R24" s="153">
        <f t="shared" si="0"/>
        <v>286000</v>
      </c>
      <c r="S24" s="154">
        <v>105366145</v>
      </c>
      <c r="T24" s="155" t="s">
        <v>57</v>
      </c>
      <c r="U24" s="137" t="s">
        <v>69</v>
      </c>
      <c r="V24" s="137"/>
      <c r="W24" s="156" t="str">
        <f t="shared" si="1"/>
        <v>April</v>
      </c>
      <c r="X24" s="157"/>
      <c r="Y24" s="158" t="s">
        <v>148</v>
      </c>
      <c r="Z24" s="158">
        <v>45774</v>
      </c>
      <c r="AA24" s="137" t="str">
        <f t="shared" ca="1" si="6"/>
        <v/>
      </c>
      <c r="AB24" s="137" t="str">
        <f t="shared" ca="1" si="2"/>
        <v/>
      </c>
      <c r="AC24" s="160" t="str">
        <f t="shared" ca="1" si="3"/>
        <v/>
      </c>
      <c r="AD24" s="159" t="str">
        <f t="shared" ca="1" si="4"/>
        <v/>
      </c>
      <c r="AE24" s="161" t="s">
        <v>149</v>
      </c>
      <c r="AF24" s="161" t="s">
        <v>150</v>
      </c>
      <c r="AG24" s="161" t="s">
        <v>151</v>
      </c>
      <c r="AH24" s="137"/>
      <c r="AI24" s="164" t="str">
        <f t="shared" si="7"/>
        <v>April 2025</v>
      </c>
      <c r="AJ24" s="164" t="str">
        <f>IF(AND(OpenPendingCases[[#This Row],[Sale Status	]]="Open Sale",OpenPendingCases[[#This Row],[Potential Same Month]]="High"),TEXT(OpenPendingCases[[#This Row],[Request Entry Date]], "[$-en-us]mmmm"),"")</f>
        <v/>
      </c>
      <c r="AK24" s="165">
        <f>IFERROR(VALUE(SUBSTITUTE(OpenPendingCases[[#This Row],[Price]]," AED","")),"")</f>
        <v>286000</v>
      </c>
      <c r="AL24" s="165">
        <f>IFERROR(VALUE(LEFT(OpenPendingCases[[#This Row],[Price]],FIND(" ",OpenPendingCases[[#This Row],[Price]])-1)),"")</f>
        <v>286000</v>
      </c>
      <c r="AM24" s="165">
        <f>IFERROR(VALUE(_xlfn.TEXTBEFORE(OpenPendingCases[[#This Row],[Price]]," AED")),"")</f>
        <v>286000</v>
      </c>
      <c r="AN24" s="165"/>
    </row>
    <row r="25" spans="2:40" ht="36" hidden="1" x14ac:dyDescent="0.35">
      <c r="C25" s="148">
        <v>23</v>
      </c>
      <c r="D25" s="137" t="str">
        <f>IF($U25="Open Sale", IF(MAX($D$4:D24)+1=0, "", MAX($D$4:D24)+1), "")</f>
        <v/>
      </c>
      <c r="E25" s="137" t="str">
        <f>IF($U25="Pending Allocation", IF(MAX($E$4:E24)+1=0, "", MAX($E$4:E24)+1), "")</f>
        <v/>
      </c>
      <c r="F25" s="134" t="s">
        <v>13</v>
      </c>
      <c r="G25" s="134"/>
      <c r="H25" s="150">
        <v>45780</v>
      </c>
      <c r="I25" s="150">
        <v>45780</v>
      </c>
      <c r="J25" s="68" t="str">
        <f>IF(OpenPendingCases[[#This Row],[Timepiece Reference ]]="", "", IF(_xlfn.XLOOKUP(OpenPendingCases[[#This Row],[Timepiece Reference ]], Table1[[Timepiece Reference ]], Table1[CRC STOCK], "Not Found")="YES", "CRC Stock", "Boutique Stock"))</f>
        <v>CRC Stock</v>
      </c>
      <c r="K25" s="137" t="s">
        <v>78</v>
      </c>
      <c r="L25" s="140" t="s">
        <v>67</v>
      </c>
      <c r="M25" s="141" t="s">
        <v>3</v>
      </c>
      <c r="N25" s="137" t="s">
        <v>55</v>
      </c>
      <c r="O25" s="135" t="s">
        <v>89</v>
      </c>
      <c r="P25" s="94" t="str">
        <f>IFERROR(VLOOKUP(TRIM(O25), Collection!$B$2:$D$1001, 2, FALSE), "")</f>
        <v>Fiftysix self-winding</v>
      </c>
      <c r="Q25" s="190" t="str">
        <f>IFERROR(VLOOKUP(TRIM(O25), Collection!$B$2:$D$1001, 3, FALSE), "")</f>
        <v>48,000 AED</v>
      </c>
      <c r="R25" s="153">
        <f t="shared" si="0"/>
        <v>48000</v>
      </c>
      <c r="S25" s="154">
        <v>100576190</v>
      </c>
      <c r="T25" s="155" t="s">
        <v>57</v>
      </c>
      <c r="U25" s="137" t="s">
        <v>69</v>
      </c>
      <c r="V25" s="137"/>
      <c r="W25" s="156" t="str">
        <f xml:space="preserve"> IF(Z25 = "",
     "",
     TEXT(Z25, "mmmm"))</f>
        <v>May</v>
      </c>
      <c r="X25" s="157" t="s">
        <v>70</v>
      </c>
      <c r="Y25" s="166">
        <v>6100102079</v>
      </c>
      <c r="Z25" s="158">
        <v>45780</v>
      </c>
      <c r="AA25" s="137" t="str">
        <f t="shared" ca="1" si="6"/>
        <v/>
      </c>
      <c r="AB25" s="137" t="str">
        <f t="shared" ca="1" si="2"/>
        <v/>
      </c>
      <c r="AC25" s="160" t="str">
        <f t="shared" ca="1" si="3"/>
        <v/>
      </c>
      <c r="AD25" s="159" t="str">
        <f t="shared" ca="1" si="4"/>
        <v/>
      </c>
      <c r="AE25" s="179" t="s">
        <v>152</v>
      </c>
      <c r="AF25" s="161"/>
      <c r="AG25" s="161"/>
      <c r="AH25" s="137"/>
      <c r="AI25" s="164" t="str">
        <f t="shared" si="7"/>
        <v>May 2025</v>
      </c>
      <c r="AJ25" s="164" t="str">
        <f>IF(AND(OpenPendingCases[[#This Row],[Sale Status	]]="Open Sale",OpenPendingCases[[#This Row],[Potential Same Month]]="High"),TEXT(OpenPendingCases[[#This Row],[Request Entry Date]], "[$-en-us]mmmm"),"")</f>
        <v/>
      </c>
      <c r="AK25" s="165">
        <f>IFERROR(VALUE(SUBSTITUTE(OpenPendingCases[[#This Row],[Price]]," AED","")),"")</f>
        <v>48000</v>
      </c>
      <c r="AL25" s="165">
        <f>IFERROR(VALUE(LEFT(OpenPendingCases[[#This Row],[Price]],FIND(" ",OpenPendingCases[[#This Row],[Price]])-1)),"")</f>
        <v>48000</v>
      </c>
      <c r="AM25" s="165">
        <f>IFERROR(VALUE(_xlfn.TEXTBEFORE(OpenPendingCases[[#This Row],[Price]]," AED")),"")</f>
        <v>48000</v>
      </c>
      <c r="AN25" s="165"/>
    </row>
    <row r="26" spans="2:40" ht="90" x14ac:dyDescent="0.35">
      <c r="C26" s="148">
        <v>24</v>
      </c>
      <c r="D26" s="137">
        <f>IF($U26="Open Sale", IF(MAX($D$4:D25)+1=0, "", MAX($D$4:D25)+1), "")</f>
        <v>3</v>
      </c>
      <c r="E26" s="137" t="str">
        <f>IF($U26="Pending Allocation", IF(MAX($E$4:E25)+1=0, "", MAX($E$4:E25)+1), "")</f>
        <v/>
      </c>
      <c r="F26" s="134" t="s">
        <v>13</v>
      </c>
      <c r="G26" s="134" t="s">
        <v>153</v>
      </c>
      <c r="H26" s="150">
        <v>45759</v>
      </c>
      <c r="I26" s="150">
        <v>45759</v>
      </c>
      <c r="J26" s="68" t="str">
        <f>IF(OpenPendingCases[[#This Row],[Timepiece Reference ]]="", "", IF(_xlfn.XLOOKUP(OpenPendingCases[[#This Row],[Timepiece Reference ]], Table1[[Timepiece Reference ]], Table1[CRC STOCK], "Not Found")="YES", "CRC Stock", "Boutique Stock"))</f>
        <v>CRC Stock</v>
      </c>
      <c r="K26" s="137" t="str">
        <f>IF(OpenPendingCases[[#This Row],[Timepiece Reference ]]="", "", IF(_xlfn.XLOOKUP(OpenPendingCases[[#This Row],[Timepiece Reference ]], Table1[[Timepiece Reference ]], Table1[CRC STOCK], "Not Found")="YES", "CRC Stock", "Boutique Stock"))</f>
        <v>CRC Stock</v>
      </c>
      <c r="L26" s="140" t="s">
        <v>1</v>
      </c>
      <c r="M26" s="141" t="s">
        <v>88</v>
      </c>
      <c r="N26" s="137" t="s">
        <v>55</v>
      </c>
      <c r="O26" s="134" t="s">
        <v>154</v>
      </c>
      <c r="P26" s="94" t="str">
        <f>IFERROR(VLOOKUP(TRIM(O26), Collection!$B$2:$D$1001, 2, FALSE), "")</f>
        <v>Overseas self-winding Green</v>
      </c>
      <c r="Q26" s="190" t="str">
        <f>IFERROR(VLOOKUP(TRIM(O26), Collection!$B$2:$D$1001, 3, FALSE), "")</f>
        <v>229,000 AED</v>
      </c>
      <c r="R26" s="153">
        <f t="shared" si="0"/>
        <v>229000</v>
      </c>
      <c r="S26" s="154">
        <v>105371442</v>
      </c>
      <c r="T26" s="155" t="s">
        <v>155</v>
      </c>
      <c r="U26" s="137" t="s">
        <v>58</v>
      </c>
      <c r="V26" s="137"/>
      <c r="W26" s="156" t="str">
        <f t="shared" si="1"/>
        <v/>
      </c>
      <c r="X26" s="157"/>
      <c r="Y26" s="158"/>
      <c r="Z26" s="158"/>
      <c r="AA26" s="137" t="str">
        <f t="shared" ca="1" si="6"/>
        <v>158 Days</v>
      </c>
      <c r="AB26" s="137" t="str">
        <f t="shared" ca="1" si="2"/>
        <v/>
      </c>
      <c r="AC26" s="160" t="str">
        <f t="shared" ca="1" si="3"/>
        <v/>
      </c>
      <c r="AD26" s="159" t="str">
        <f t="shared" ca="1" si="4"/>
        <v>158</v>
      </c>
      <c r="AE26" s="161" t="s">
        <v>156</v>
      </c>
      <c r="AF26" s="161" t="s">
        <v>157</v>
      </c>
      <c r="AG26" s="161" t="s">
        <v>158</v>
      </c>
      <c r="AH26" s="137"/>
      <c r="AI26" s="164" t="str">
        <f t="shared" si="7"/>
        <v>April 2025</v>
      </c>
      <c r="AJ26" s="164" t="str">
        <f>IF(AND(OpenPendingCases[[#This Row],[Sale Status	]]="Open Sale",OpenPendingCases[[#This Row],[Potential Same Month]]="High"),TEXT(OpenPendingCases[[#This Row],[Request Entry Date]], "[$-en-us]mmmm"),"")</f>
        <v/>
      </c>
      <c r="AK26" s="165">
        <f>IFERROR(VALUE(SUBSTITUTE(OpenPendingCases[[#This Row],[Price]]," AED","")),"")</f>
        <v>229000</v>
      </c>
      <c r="AL26" s="165">
        <f>IFERROR(VALUE(LEFT(OpenPendingCases[[#This Row],[Price]],FIND(" ",OpenPendingCases[[#This Row],[Price]])-1)),"")</f>
        <v>229000</v>
      </c>
      <c r="AM26" s="165">
        <f>IFERROR(VALUE(_xlfn.TEXTBEFORE(OpenPendingCases[[#This Row],[Price]]," AED")),"")</f>
        <v>229000</v>
      </c>
      <c r="AN26" s="165"/>
    </row>
    <row r="27" spans="2:40" ht="54" x14ac:dyDescent="0.35">
      <c r="C27" s="148">
        <v>25</v>
      </c>
      <c r="D27" s="137" t="str">
        <f>IF($U27="Open Sale", IF(MAX($D$4:D26)+1=0, "", MAX($D$4:D26)+1), "")</f>
        <v/>
      </c>
      <c r="E27" s="137">
        <f>IF($U27="Pending Allocation", IF(MAX($E$4:E26)+1=0, "", MAX($E$4:E26)+1), "")</f>
        <v>3</v>
      </c>
      <c r="F27" s="134" t="s">
        <v>13</v>
      </c>
      <c r="G27" s="134" t="s">
        <v>159</v>
      </c>
      <c r="H27" s="150">
        <v>45645</v>
      </c>
      <c r="I27" s="150">
        <v>45780</v>
      </c>
      <c r="J27" s="68" t="str">
        <f>IF(OpenPendingCases[[#This Row],[Timepiece Reference ]]="", "", IF(_xlfn.XLOOKUP(OpenPendingCases[[#This Row],[Timepiece Reference ]], Table1[[Timepiece Reference ]], Table1[CRC STOCK], "Not Found")="YES", "CRC Stock", "Boutique Stock"))</f>
        <v>Boutique Stock</v>
      </c>
      <c r="K27" s="137" t="str">
        <f>IF(OpenPendingCases[[#This Row],[Timepiece Reference ]]="", "", IF(_xlfn.XLOOKUP(OpenPendingCases[[#This Row],[Timepiece Reference ]], Table1[[Timepiece Reference ]], Table1[CRC STOCK], "Not Found")="YES", "CRC Stock", "Boutique Stock"))</f>
        <v>Boutique Stock</v>
      </c>
      <c r="L27" s="140" t="s">
        <v>54</v>
      </c>
      <c r="M27" s="141" t="s">
        <v>88</v>
      </c>
      <c r="N27" s="137" t="s">
        <v>55</v>
      </c>
      <c r="O27" s="134" t="s">
        <v>160</v>
      </c>
      <c r="P27" s="94" t="str">
        <f>IFERROR(VLOOKUP(TRIM(O27), Collection!$B$2:$D$1001, 2, FALSE), "")</f>
        <v>Overseas dual time Black</v>
      </c>
      <c r="Q27" s="190" t="str">
        <f>IFERROR(VLOOKUP(TRIM(O27), Collection!$B$2:$D$1001, 3, FALSE), "")</f>
        <v>117,000 AED</v>
      </c>
      <c r="R27" s="153">
        <f t="shared" si="0"/>
        <v>117000</v>
      </c>
      <c r="S27" s="191">
        <v>102928395</v>
      </c>
      <c r="T27" s="155" t="s">
        <v>57</v>
      </c>
      <c r="U27" s="137" t="s">
        <v>84</v>
      </c>
      <c r="V27" s="137"/>
      <c r="W27" s="156"/>
      <c r="X27" s="157" t="s">
        <v>123</v>
      </c>
      <c r="Y27" s="158"/>
      <c r="Z27" s="158"/>
      <c r="AA27" s="137" t="str">
        <f ca="1">IF(H27="", "", IF(U27="Open Sale", IF(TODAY()-H27=0, "0 Days", TEXT(TODAY()-H27, "0") &amp; " Days"), IF(U27="Closed Sale", AA27, "")))</f>
        <v/>
      </c>
      <c r="AB27" s="137" t="str">
        <f t="shared" ca="1" si="2"/>
        <v>272 Days</v>
      </c>
      <c r="AC27" s="160">
        <f t="shared" ca="1" si="3"/>
        <v>137</v>
      </c>
      <c r="AD27" s="159" t="str">
        <f t="shared" ca="1" si="4"/>
        <v/>
      </c>
      <c r="AE27" s="161" t="s">
        <v>161</v>
      </c>
      <c r="AF27" s="161"/>
      <c r="AG27" s="161"/>
      <c r="AH27" s="137"/>
      <c r="AI27" s="164" t="str">
        <f t="shared" si="7"/>
        <v>May 2025</v>
      </c>
      <c r="AJ27" s="164" t="str">
        <f>IF(AND(OpenPendingCases[[#This Row],[Sale Status	]]="Open Sale",OpenPendingCases[[#This Row],[Potential Same Month]]="High"),TEXT(OpenPendingCases[[#This Row],[Request Entry Date]], "[$-en-us]mmmm"),"")</f>
        <v/>
      </c>
      <c r="AK27" s="165">
        <f>IFERROR(VALUE(SUBSTITUTE(OpenPendingCases[[#This Row],[Price]]," AED","")),"")</f>
        <v>117000</v>
      </c>
      <c r="AL27" s="165">
        <f>IFERROR(VALUE(LEFT(OpenPendingCases[[#This Row],[Price]],FIND(" ",OpenPendingCases[[#This Row],[Price]])-1)),"")</f>
        <v>117000</v>
      </c>
      <c r="AM27" s="165">
        <f>IFERROR(VALUE(_xlfn.TEXTBEFORE(OpenPendingCases[[#This Row],[Price]]," AED")),"")</f>
        <v>117000</v>
      </c>
      <c r="AN27" s="165"/>
    </row>
    <row r="28" spans="2:40" ht="36" x14ac:dyDescent="0.35">
      <c r="C28" s="148">
        <v>26</v>
      </c>
      <c r="D28" s="137" t="str">
        <f>IF($U28="Open Sale", IF(MAX($D$4:D27)+1=0, "", MAX($D$4:D27)+1), "")</f>
        <v/>
      </c>
      <c r="E28" s="137">
        <f>IF($U28="Pending Allocation", IF(MAX($E$4:E27)+1=0, "", MAX($E$4:E27)+1), "")</f>
        <v>4</v>
      </c>
      <c r="F28" s="134" t="s">
        <v>13</v>
      </c>
      <c r="G28" s="134" t="s">
        <v>162</v>
      </c>
      <c r="H28" s="150">
        <v>45616</v>
      </c>
      <c r="I28" s="150">
        <v>45780</v>
      </c>
      <c r="J28" s="68" t="str">
        <f>IF(OpenPendingCases[[#This Row],[Timepiece Reference ]]="", "", IF(_xlfn.XLOOKUP(OpenPendingCases[[#This Row],[Timepiece Reference ]], Table1[[Timepiece Reference ]], Table1[CRC STOCK], "Not Found")="YES", "CRC Stock", "Boutique Stock"))</f>
        <v>Boutique Stock</v>
      </c>
      <c r="K28" s="137" t="str">
        <f>IF(OpenPendingCases[[#This Row],[Timepiece Reference ]]="", "", IF(_xlfn.XLOOKUP(OpenPendingCases[[#This Row],[Timepiece Reference ]], Table1[[Timepiece Reference ]], Table1[CRC STOCK], "Not Found")="YES", "CRC Stock", "Boutique Stock"))</f>
        <v>Boutique Stock</v>
      </c>
      <c r="L28" s="140" t="s">
        <v>119</v>
      </c>
      <c r="M28" s="141" t="s">
        <v>88</v>
      </c>
      <c r="N28" s="137" t="s">
        <v>55</v>
      </c>
      <c r="O28" s="134" t="s">
        <v>56</v>
      </c>
      <c r="P28" s="94" t="str">
        <f>IFERROR(VLOOKUP(TRIM(O28), Collection!$B$2:$D$1001, 2, FALSE), "")</f>
        <v>Overseas dual time Blue</v>
      </c>
      <c r="Q28" s="190" t="str">
        <f>IFERROR(VLOOKUP(TRIM(O28), Collection!$B$2:$D$1001, 3, FALSE), "")</f>
        <v>117,000 AED</v>
      </c>
      <c r="R28" s="153">
        <f t="shared" si="0"/>
        <v>117000</v>
      </c>
      <c r="S28" s="191">
        <v>101472623</v>
      </c>
      <c r="T28" s="155" t="s">
        <v>57</v>
      </c>
      <c r="U28" s="137" t="s">
        <v>84</v>
      </c>
      <c r="V28" s="137"/>
      <c r="W28" s="156" t="s">
        <v>112</v>
      </c>
      <c r="X28" s="157" t="s">
        <v>70</v>
      </c>
      <c r="Y28" s="158"/>
      <c r="Z28" s="158" t="s">
        <v>163</v>
      </c>
      <c r="AA28" s="137" t="str">
        <f t="shared" ca="1" si="6"/>
        <v/>
      </c>
      <c r="AB28" s="137" t="str">
        <f t="shared" ca="1" si="2"/>
        <v>301 Days</v>
      </c>
      <c r="AC28" s="160">
        <f t="shared" ca="1" si="3"/>
        <v>137</v>
      </c>
      <c r="AD28" s="159" t="str">
        <f t="shared" ca="1" si="4"/>
        <v/>
      </c>
      <c r="AE28" s="161" t="s">
        <v>161</v>
      </c>
      <c r="AF28" s="161"/>
      <c r="AG28" s="161"/>
      <c r="AH28" s="137"/>
      <c r="AI28" s="164" t="str">
        <f t="shared" si="7"/>
        <v>May 2025</v>
      </c>
      <c r="AJ28" s="164" t="str">
        <f>IF(AND(OpenPendingCases[[#This Row],[Sale Status	]]="Open Sale",OpenPendingCases[[#This Row],[Potential Same Month]]="High"),TEXT(OpenPendingCases[[#This Row],[Request Entry Date]], "[$-en-us]mmmm"),"")</f>
        <v/>
      </c>
      <c r="AK28" s="165">
        <f>IFERROR(VALUE(SUBSTITUTE(OpenPendingCases[[#This Row],[Price]]," AED","")),"")</f>
        <v>117000</v>
      </c>
      <c r="AL28" s="165">
        <f>IFERROR(VALUE(LEFT(OpenPendingCases[[#This Row],[Price]],FIND(" ",OpenPendingCases[[#This Row],[Price]])-1)),"")</f>
        <v>117000</v>
      </c>
      <c r="AM28" s="165">
        <f>IFERROR(VALUE(_xlfn.TEXTBEFORE(OpenPendingCases[[#This Row],[Price]]," AED")),"")</f>
        <v>117000</v>
      </c>
      <c r="AN28" s="165"/>
    </row>
    <row r="29" spans="2:40" ht="90" hidden="1" x14ac:dyDescent="0.35">
      <c r="C29" s="148">
        <v>27</v>
      </c>
      <c r="D29" s="137" t="str">
        <f>IF($U29="Open Sale", IF(MAX($D$4:D28)+1=0, "", MAX($D$4:D28)+1), "")</f>
        <v/>
      </c>
      <c r="E29" s="137" t="str">
        <f>IF($U29="Pending Allocation", IF(MAX($E$4:E28)+1=0, "", MAX($E$4:E28)+1), "")</f>
        <v/>
      </c>
      <c r="F29" s="134" t="s">
        <v>13</v>
      </c>
      <c r="G29" s="134" t="s">
        <v>164</v>
      </c>
      <c r="H29" s="150">
        <v>45763</v>
      </c>
      <c r="I29" s="150">
        <v>45784</v>
      </c>
      <c r="J29" s="68" t="str">
        <f>IF(OpenPendingCases[[#This Row],[Timepiece Reference ]]="", "", IF(_xlfn.XLOOKUP(OpenPendingCases[[#This Row],[Timepiece Reference ]], Table1[[Timepiece Reference ]], Table1[CRC STOCK], "Not Found")="YES", "CRC Stock", "Boutique Stock"))</f>
        <v>Boutique Stock</v>
      </c>
      <c r="K29" s="137" t="str">
        <f>IF(OpenPendingCases[[#This Row],[Timepiece Reference ]]="", "", IF(_xlfn.XLOOKUP(OpenPendingCases[[#This Row],[Timepiece Reference ]], Table1[[Timepiece Reference ]], Table1[CRC STOCK], "Not Found")="YES", "CRC Stock", "Boutique Stock"))</f>
        <v>Boutique Stock</v>
      </c>
      <c r="L29" s="140" t="s">
        <v>1</v>
      </c>
      <c r="M29" s="141" t="s">
        <v>79</v>
      </c>
      <c r="N29" s="137" t="s">
        <v>55</v>
      </c>
      <c r="O29" s="134" t="s">
        <v>165</v>
      </c>
      <c r="P29" s="94" t="str">
        <f>IFERROR(VLOOKUP(TRIM(O29), Collection!$B$2:$D$1001, 2, FALSE), "")</f>
        <v>Traditionnelle complete calendar</v>
      </c>
      <c r="Q29" s="190" t="str">
        <f>IFERROR(VLOOKUP(TRIM(O29), Collection!$B$2:$D$1001, 3, FALSE), "")</f>
        <v>172,000 AED</v>
      </c>
      <c r="R29" s="153">
        <f t="shared" si="0"/>
        <v>172000</v>
      </c>
      <c r="S29" s="154">
        <v>105370532</v>
      </c>
      <c r="T29" s="155" t="s">
        <v>155</v>
      </c>
      <c r="U29" s="137" t="s">
        <v>73</v>
      </c>
      <c r="V29" s="137"/>
      <c r="W29" s="156" t="str">
        <f t="shared" si="1"/>
        <v/>
      </c>
      <c r="X29" s="157"/>
      <c r="Y29" s="158"/>
      <c r="Z29" s="158"/>
      <c r="AA29" s="137" t="str">
        <f t="shared" ca="1" si="6"/>
        <v>69 Days</v>
      </c>
      <c r="AB29" s="137" t="str">
        <f t="shared" ca="1" si="2"/>
        <v/>
      </c>
      <c r="AC29" s="160" t="str">
        <f t="shared" ca="1" si="3"/>
        <v/>
      </c>
      <c r="AD29" s="159" t="str">
        <f t="shared" ca="1" si="4"/>
        <v/>
      </c>
      <c r="AE29" s="163" t="s">
        <v>166</v>
      </c>
      <c r="AF29" s="163" t="s">
        <v>167</v>
      </c>
      <c r="AG29" s="161"/>
      <c r="AH29" s="137"/>
      <c r="AI29" s="164" t="str">
        <f t="shared" si="7"/>
        <v>May 2025</v>
      </c>
      <c r="AJ29" s="164" t="str">
        <f>IF(AND(OpenPendingCases[[#This Row],[Sale Status	]]="Open Sale",OpenPendingCases[[#This Row],[Potential Same Month]]="High"),TEXT(OpenPendingCases[[#This Row],[Request Entry Date]], "[$-en-us]mmmm"),"")</f>
        <v/>
      </c>
      <c r="AK29" s="165">
        <f>IFERROR(VALUE(SUBSTITUTE(OpenPendingCases[[#This Row],[Price]]," AED","")),"")</f>
        <v>172000</v>
      </c>
      <c r="AL29" s="165">
        <f>IFERROR(VALUE(LEFT(OpenPendingCases[[#This Row],[Price]],FIND(" ",OpenPendingCases[[#This Row],[Price]])-1)),"")</f>
        <v>172000</v>
      </c>
      <c r="AM29" s="165">
        <f>IFERROR(VALUE(_xlfn.TEXTBEFORE(OpenPendingCases[[#This Row],[Price]]," AED")),"")</f>
        <v>172000</v>
      </c>
      <c r="AN29" s="165" t="s">
        <v>168</v>
      </c>
    </row>
    <row r="30" spans="2:40" ht="36" hidden="1" x14ac:dyDescent="0.35">
      <c r="C30" s="148">
        <v>28</v>
      </c>
      <c r="D30" s="137" t="str">
        <f>IF($U30="Open Sale", IF(MAX($D$4:D29)+1=0, "", MAX($D$4:D29)+1), "")</f>
        <v/>
      </c>
      <c r="E30" s="137" t="str">
        <f>IF($U30="Pending Allocation", IF(MAX($E$4:E29)+1=0, "", MAX($E$4:E29)+1), "")</f>
        <v/>
      </c>
      <c r="F30" s="134" t="s">
        <v>13</v>
      </c>
      <c r="G30" s="134" t="s">
        <v>169</v>
      </c>
      <c r="H30" s="150">
        <v>45790</v>
      </c>
      <c r="I30" s="150">
        <v>45790</v>
      </c>
      <c r="J30" s="68" t="str">
        <f>IF(OpenPendingCases[[#This Row],[Timepiece Reference ]]="", "", IF(_xlfn.XLOOKUP(OpenPendingCases[[#This Row],[Timepiece Reference ]], Table1[[Timepiece Reference ]], Table1[CRC STOCK], "Not Found")="YES", "CRC Stock", "Boutique Stock"))</f>
        <v>Boutique Stock</v>
      </c>
      <c r="K30" s="137" t="str">
        <f>IF(OpenPendingCases[[#This Row],[Timepiece Reference ]]="", "", IF(_xlfn.XLOOKUP(OpenPendingCases[[#This Row],[Timepiece Reference ]], Table1[[Timepiece Reference ]], Table1[CRC STOCK], "Not Found")="YES", "CRC Stock", "Boutique Stock"))</f>
        <v>Boutique Stock</v>
      </c>
      <c r="L30" s="140" t="s">
        <v>101</v>
      </c>
      <c r="M30" s="141" t="s">
        <v>88</v>
      </c>
      <c r="N30" s="137" t="s">
        <v>55</v>
      </c>
      <c r="O30" s="134" t="s">
        <v>170</v>
      </c>
      <c r="P30" s="94" t="str">
        <f>IFERROR(VLOOKUP(TRIM(O30), Collection!$B$2:$D$1001, 2, FALSE), "")</f>
        <v>Fiftysix complete calendar</v>
      </c>
      <c r="Q30" s="190" t="str">
        <f>IFERROR(VLOOKUP(TRIM(O30), Collection!$B$2:$D$1001, 3, FALSE), "")</f>
        <v>104,000 AED</v>
      </c>
      <c r="R30" s="153">
        <f t="shared" si="0"/>
        <v>104000</v>
      </c>
      <c r="S30" s="154">
        <v>105904737</v>
      </c>
      <c r="T30" s="155" t="s">
        <v>57</v>
      </c>
      <c r="U30" s="137" t="s">
        <v>73</v>
      </c>
      <c r="V30" s="137"/>
      <c r="W30" s="156"/>
      <c r="X30" s="157" t="s">
        <v>70</v>
      </c>
      <c r="Y30" s="158"/>
      <c r="Z30" s="158"/>
      <c r="AA30" s="137" t="str">
        <f t="shared" ca="1" si="6"/>
        <v>18 Days</v>
      </c>
      <c r="AB30" s="137" t="str">
        <f t="shared" ca="1" si="2"/>
        <v/>
      </c>
      <c r="AC30" s="160" t="str">
        <f t="shared" ca="1" si="3"/>
        <v/>
      </c>
      <c r="AD30" s="159" t="str">
        <f t="shared" ca="1" si="4"/>
        <v/>
      </c>
      <c r="AE30" s="161"/>
      <c r="AF30" s="161"/>
      <c r="AG30" s="161"/>
      <c r="AH30" s="137"/>
      <c r="AI30" s="164" t="str">
        <f t="shared" si="7"/>
        <v>May 2025</v>
      </c>
      <c r="AJ30" s="164" t="str">
        <f>IF(AND(OpenPendingCases[[#This Row],[Sale Status	]]="Open Sale",OpenPendingCases[[#This Row],[Potential Same Month]]="High"),TEXT(OpenPendingCases[[#This Row],[Request Entry Date]], "[$-en-us]mmmm"),"")</f>
        <v/>
      </c>
      <c r="AK30" s="165">
        <f>IFERROR(VALUE(SUBSTITUTE(OpenPendingCases[[#This Row],[Price]]," AED","")),"")</f>
        <v>104000</v>
      </c>
      <c r="AL30" s="165">
        <f>IFERROR(VALUE(LEFT(OpenPendingCases[[#This Row],[Price]],FIND(" ",OpenPendingCases[[#This Row],[Price]])-1)),"")</f>
        <v>104000</v>
      </c>
      <c r="AM30" s="165">
        <f>IFERROR(VALUE(_xlfn.TEXTBEFORE(OpenPendingCases[[#This Row],[Price]]," AED")),"")</f>
        <v>104000</v>
      </c>
      <c r="AN30" s="165"/>
    </row>
    <row r="31" spans="2:40" ht="36" x14ac:dyDescent="0.35">
      <c r="C31" s="148">
        <v>29</v>
      </c>
      <c r="D31" s="137" t="str">
        <f>IF($U31="Open Sale", IF(MAX($D$4:D30)+1=0, "", MAX($D$4:D30)+1), "")</f>
        <v/>
      </c>
      <c r="E31" s="137">
        <f>IF($U31="Pending Allocation", IF(MAX($E$4:E30)+1=0, "", MAX($E$4:E30)+1), "")</f>
        <v>5</v>
      </c>
      <c r="F31" s="134" t="s">
        <v>13</v>
      </c>
      <c r="G31" s="134" t="s">
        <v>171</v>
      </c>
      <c r="H31" s="150">
        <v>45790</v>
      </c>
      <c r="I31" s="150">
        <v>45790</v>
      </c>
      <c r="J31" s="68" t="str">
        <f>IF(OpenPendingCases[[#This Row],[Timepiece Reference ]]="", "", IF(_xlfn.XLOOKUP(OpenPendingCases[[#This Row],[Timepiece Reference ]], Table1[[Timepiece Reference ]], Table1[CRC STOCK], "Not Found")="YES", "CRC Stock", "Boutique Stock"))</f>
        <v>Boutique Stock</v>
      </c>
      <c r="K31" s="137" t="s">
        <v>78</v>
      </c>
      <c r="L31" s="140" t="s">
        <v>1</v>
      </c>
      <c r="M31" s="141" t="s">
        <v>79</v>
      </c>
      <c r="N31" s="137" t="s">
        <v>55</v>
      </c>
      <c r="O31" s="134" t="s">
        <v>132</v>
      </c>
      <c r="P31" s="94" t="str">
        <f>IFERROR(VLOOKUP(TRIM(O31), Collection!$B$2:$D$1001, 2, FALSE), "")</f>
        <v>Overseas moon phase retrograde date</v>
      </c>
      <c r="Q31" s="190" t="str">
        <f>IFERROR(VLOOKUP(TRIM(O31), Collection!$B$2:$D$1001, 3, FALSE), "")</f>
        <v>166,000 AED</v>
      </c>
      <c r="R31" s="153">
        <f t="shared" si="0"/>
        <v>166000</v>
      </c>
      <c r="S31" s="191">
        <v>105904737</v>
      </c>
      <c r="T31" s="155" t="s">
        <v>57</v>
      </c>
      <c r="U31" s="137" t="s">
        <v>84</v>
      </c>
      <c r="V31" s="137"/>
      <c r="W31" s="156" t="s">
        <v>112</v>
      </c>
      <c r="X31" s="157" t="s">
        <v>123</v>
      </c>
      <c r="Y31" s="158"/>
      <c r="Z31" s="158"/>
      <c r="AA31" s="137" t="str">
        <f t="shared" ca="1" si="6"/>
        <v/>
      </c>
      <c r="AB31" s="137" t="str">
        <f t="shared" ca="1" si="2"/>
        <v>127 Days</v>
      </c>
      <c r="AC31" s="160">
        <f t="shared" ca="1" si="3"/>
        <v>127</v>
      </c>
      <c r="AD31" s="159" t="str">
        <f t="shared" ca="1" si="4"/>
        <v/>
      </c>
      <c r="AE31" s="161" t="s">
        <v>172</v>
      </c>
      <c r="AF31" s="161" t="s">
        <v>173</v>
      </c>
      <c r="AG31" s="161" t="s">
        <v>174</v>
      </c>
      <c r="AH31" s="137"/>
      <c r="AI31" s="164" t="str">
        <f t="shared" si="7"/>
        <v>May 2025</v>
      </c>
      <c r="AJ31" s="164" t="str">
        <f>IF(AND(OpenPendingCases[[#This Row],[Sale Status	]]="Open Sale",OpenPendingCases[[#This Row],[Potential Same Month]]="High"),TEXT(OpenPendingCases[[#This Row],[Request Entry Date]], "[$-en-us]mmmm"),"")</f>
        <v/>
      </c>
      <c r="AK31" s="165">
        <f>IFERROR(VALUE(SUBSTITUTE(OpenPendingCases[[#This Row],[Price]]," AED","")),"")</f>
        <v>166000</v>
      </c>
      <c r="AL31" s="165">
        <f>IFERROR(VALUE(LEFT(OpenPendingCases[[#This Row],[Price]],FIND(" ",OpenPendingCases[[#This Row],[Price]])-1)),"")</f>
        <v>166000</v>
      </c>
      <c r="AM31" s="165">
        <f>IFERROR(VALUE(_xlfn.TEXTBEFORE(OpenPendingCases[[#This Row],[Price]]," AED")),"")</f>
        <v>166000</v>
      </c>
      <c r="AN31" s="165"/>
    </row>
    <row r="32" spans="2:40" ht="54" hidden="1" x14ac:dyDescent="0.35">
      <c r="C32" s="148">
        <v>30</v>
      </c>
      <c r="D32" s="137" t="str">
        <f>IF($U32="Open Sale", IF(MAX($D$4:D31)+1=0, "", MAX($D$4:D31)+1), "")</f>
        <v/>
      </c>
      <c r="E32" s="137" t="str">
        <f>IF($U32="Pending Allocation", IF(MAX($E$4:E31)+1=0, "", MAX($E$4:E31)+1), "")</f>
        <v/>
      </c>
      <c r="F32" s="134" t="s">
        <v>13</v>
      </c>
      <c r="G32" s="134" t="s">
        <v>175</v>
      </c>
      <c r="H32" s="150">
        <v>45424</v>
      </c>
      <c r="I32" s="150">
        <v>45759</v>
      </c>
      <c r="J32" s="68" t="str">
        <f>IF(OpenPendingCases[[#This Row],[Timepiece Reference ]]="", "", IF(_xlfn.XLOOKUP(OpenPendingCases[[#This Row],[Timepiece Reference ]], Table1[[Timepiece Reference ]], Table1[CRC STOCK], "Not Found")="YES", "CRC Stock", "Boutique Stock"))</f>
        <v>Boutique Stock</v>
      </c>
      <c r="K32" s="137" t="str">
        <f>IF(OpenPendingCases[[#This Row],[Timepiece Reference ]]="", "", IF(_xlfn.XLOOKUP(OpenPendingCases[[#This Row],[Timepiece Reference ]], Table1[[Timepiece Reference ]], Table1[CRC STOCK], "Not Found")="YES", "CRC Stock", "Boutique Stock"))</f>
        <v>Boutique Stock</v>
      </c>
      <c r="L32" s="140" t="s">
        <v>54</v>
      </c>
      <c r="M32" s="141" t="s">
        <v>88</v>
      </c>
      <c r="N32" s="137" t="s">
        <v>55</v>
      </c>
      <c r="O32" s="134" t="s">
        <v>160</v>
      </c>
      <c r="P32" s="94" t="str">
        <f>IFERROR(VLOOKUP(TRIM(O32), Collection!$B$2:$D$1001, 2, FALSE), "")</f>
        <v>Overseas dual time Black</v>
      </c>
      <c r="Q32" s="190" t="str">
        <f>IFERROR(VLOOKUP(TRIM(O32), Collection!$B$2:$D$1001, 3, FALSE), "")</f>
        <v>117,000 AED</v>
      </c>
      <c r="R32" s="153">
        <f t="shared" si="0"/>
        <v>117000</v>
      </c>
      <c r="S32" s="154">
        <v>105904737</v>
      </c>
      <c r="T32" s="166" t="s">
        <v>176</v>
      </c>
      <c r="U32" s="137" t="s">
        <v>73</v>
      </c>
      <c r="V32" s="137"/>
      <c r="W32" s="156" t="s">
        <v>112</v>
      </c>
      <c r="X32" s="157"/>
      <c r="Y32" s="158"/>
      <c r="Z32" s="158"/>
      <c r="AA32" s="137" t="str">
        <f t="shared" ca="1" si="6"/>
        <v>408 Days</v>
      </c>
      <c r="AB32" s="137" t="str">
        <f t="shared" ca="1" si="2"/>
        <v/>
      </c>
      <c r="AC32" s="160" t="str">
        <f t="shared" ca="1" si="3"/>
        <v/>
      </c>
      <c r="AD32" s="159" t="str">
        <f t="shared" ca="1" si="4"/>
        <v/>
      </c>
      <c r="AE32" s="161"/>
      <c r="AF32" s="161"/>
      <c r="AG32" s="161" t="s">
        <v>174</v>
      </c>
      <c r="AH32" s="137"/>
      <c r="AI32" s="164" t="str">
        <f t="shared" si="7"/>
        <v>April 2025</v>
      </c>
      <c r="AJ32" s="164" t="str">
        <f>IF(AND(OpenPendingCases[[#This Row],[Sale Status	]]="Open Sale",OpenPendingCases[[#This Row],[Potential Same Month]]="High"),TEXT(OpenPendingCases[[#This Row],[Request Entry Date]], "[$-en-us]mmmm"),"")</f>
        <v/>
      </c>
      <c r="AK32" s="165">
        <f>IFERROR(VALUE(SUBSTITUTE(OpenPendingCases[[#This Row],[Price]]," AED","")),"")</f>
        <v>117000</v>
      </c>
      <c r="AL32" s="165">
        <f>IFERROR(VALUE(LEFT(OpenPendingCases[[#This Row],[Price]],FIND(" ",OpenPendingCases[[#This Row],[Price]])-1)),"")</f>
        <v>117000</v>
      </c>
      <c r="AM32" s="165">
        <f>IFERROR(VALUE(_xlfn.TEXTBEFORE(OpenPendingCases[[#This Row],[Price]]," AED")),"")</f>
        <v>117000</v>
      </c>
      <c r="AN32" s="165"/>
    </row>
    <row r="33" spans="3:40" ht="36" x14ac:dyDescent="0.35">
      <c r="C33" s="148">
        <v>31</v>
      </c>
      <c r="D33" s="137" t="str">
        <f>IF($U33="Open Sale", IF(MAX($D$4:D32)+1=0, "", MAX($D$4:D32)+1), "")</f>
        <v/>
      </c>
      <c r="E33" s="137">
        <f>IF($U33="Pending Allocation", IF(MAX($E$4:E32)+1=0, "", MAX($E$4:E32)+1), "")</f>
        <v>6</v>
      </c>
      <c r="F33" s="134" t="s">
        <v>13</v>
      </c>
      <c r="G33" s="134"/>
      <c r="H33" s="150">
        <v>45804</v>
      </c>
      <c r="I33" s="150">
        <v>45804</v>
      </c>
      <c r="J33" s="68" t="str">
        <f>IF(OpenPendingCases[[#This Row],[Timepiece Reference ]]="", "", IF(_xlfn.XLOOKUP(OpenPendingCases[[#This Row],[Timepiece Reference ]], Table1[[Timepiece Reference ]], Table1[CRC STOCK], "Not Found")="YES", "CRC Stock", "Boutique Stock"))</f>
        <v>Boutique Stock</v>
      </c>
      <c r="K33" s="137" t="str">
        <f>IF(OpenPendingCases[[#This Row],[Timepiece Reference ]]="", "", IF(_xlfn.XLOOKUP(OpenPendingCases[[#This Row],[Timepiece Reference ]], Table1[[Timepiece Reference ]], Table1[CRC STOCK], "Not Found")="YES", "CRC Stock", "Boutique Stock"))</f>
        <v>Boutique Stock</v>
      </c>
      <c r="L33" s="140" t="s">
        <v>119</v>
      </c>
      <c r="M33" s="141" t="s">
        <v>79</v>
      </c>
      <c r="N33" s="137" t="s">
        <v>55</v>
      </c>
      <c r="O33" s="134" t="s">
        <v>177</v>
      </c>
      <c r="P33" s="94" t="str">
        <f>IFERROR(VLOOKUP(TRIM(O33), Collection!$B$2:$D$1001, 2, FALSE), "")</f>
        <v>Traditionnelle self-winding ultra-thin</v>
      </c>
      <c r="Q33" s="190" t="str">
        <f>IFERROR(VLOOKUP(TRIM(O33), Collection!$B$2:$D$1001, 3, FALSE), "")</f>
        <v>116,000 AED</v>
      </c>
      <c r="R33" s="153">
        <f t="shared" si="0"/>
        <v>116000</v>
      </c>
      <c r="S33" s="154">
        <v>106274248</v>
      </c>
      <c r="T33" s="166" t="s">
        <v>176</v>
      </c>
      <c r="U33" s="137" t="s">
        <v>84</v>
      </c>
      <c r="V33" s="137"/>
      <c r="W33" s="156" t="s">
        <v>112</v>
      </c>
      <c r="X33" s="157"/>
      <c r="Y33" s="158"/>
      <c r="Z33" s="158"/>
      <c r="AA33" s="137" t="str">
        <f t="shared" ca="1" si="6"/>
        <v/>
      </c>
      <c r="AB33" s="137" t="str">
        <f t="shared" ca="1" si="2"/>
        <v>113 Days</v>
      </c>
      <c r="AC33" s="160">
        <f t="shared" ca="1" si="3"/>
        <v>113</v>
      </c>
      <c r="AD33" s="159" t="str">
        <f t="shared" ca="1" si="4"/>
        <v/>
      </c>
      <c r="AE33" s="161" t="s">
        <v>178</v>
      </c>
      <c r="AF33" s="161"/>
      <c r="AG33" s="161"/>
      <c r="AH33" s="137"/>
      <c r="AI33" s="164" t="str">
        <f t="shared" si="7"/>
        <v>May 2025</v>
      </c>
      <c r="AJ33" s="164" t="str">
        <f>IF(AND(OpenPendingCases[[#This Row],[Sale Status	]]="Open Sale",OpenPendingCases[[#This Row],[Potential Same Month]]="High"),TEXT(OpenPendingCases[[#This Row],[Request Entry Date]], "[$-en-us]mmmm"),"")</f>
        <v/>
      </c>
      <c r="AK33" s="165">
        <f>IFERROR(VALUE(SUBSTITUTE(OpenPendingCases[[#This Row],[Price]]," AED","")),"")</f>
        <v>116000</v>
      </c>
      <c r="AL33" s="165">
        <f>IFERROR(VALUE(LEFT(OpenPendingCases[[#This Row],[Price]],FIND(" ",OpenPendingCases[[#This Row],[Price]])-1)),"")</f>
        <v>116000</v>
      </c>
      <c r="AM33" s="165">
        <f>IFERROR(VALUE(_xlfn.TEXTBEFORE(OpenPendingCases[[#This Row],[Price]]," AED")),"")</f>
        <v>116000</v>
      </c>
      <c r="AN33" s="165"/>
    </row>
    <row r="34" spans="3:40" ht="18" hidden="1" x14ac:dyDescent="0.35">
      <c r="C34" s="148">
        <v>32</v>
      </c>
      <c r="D34" s="137" t="str">
        <f>IF($U34="Open Sale", IF(MAX($D$4:D33)+1=0, "", MAX($D$4:D33)+1), "")</f>
        <v/>
      </c>
      <c r="E34" s="137" t="str">
        <f>IF($U34="Pending Allocation", IF(MAX($E$4:E33)+1=0, "", MAX($E$4:E33)+1), "")</f>
        <v/>
      </c>
      <c r="F34" s="137"/>
      <c r="G34" s="137"/>
      <c r="H34" s="150"/>
      <c r="I34" s="150"/>
      <c r="J34" s="68" t="str">
        <f>IF(OpenPendingCases[[#This Row],[Timepiece Reference ]]="", "", IF(_xlfn.XLOOKUP(OpenPendingCases[[#This Row],[Timepiece Reference ]], Table1[[Timepiece Reference ]], Table1[CRC STOCK], "Not Found")="YES", "CRC Stock", "Boutique Stock"))</f>
        <v/>
      </c>
      <c r="K34" s="137" t="str">
        <f>IF(OpenPendingCases[[#This Row],[Timepiece Reference ]]="", "", IF(_xlfn.XLOOKUP(OpenPendingCases[[#This Row],[Timepiece Reference ]], Table1[[Timepiece Reference ]], Table1[CRC STOCK], "Not Found")="YES", "CRC Stock", "Boutique Stock"))</f>
        <v/>
      </c>
      <c r="L34" s="140"/>
      <c r="M34" s="141"/>
      <c r="N34" s="137"/>
      <c r="O34" s="134"/>
      <c r="P34" s="94" t="str">
        <f>IFERROR(VLOOKUP(TRIM(O34), Collection!$B$2:$D$1001, 2, FALSE), "")</f>
        <v/>
      </c>
      <c r="Q34" s="190" t="str">
        <f>IFERROR(VLOOKUP(TRIM(O34), Collection!$B$2:$D$1001, 3, FALSE), "")</f>
        <v/>
      </c>
      <c r="R34" s="153" t="str">
        <f t="shared" si="0"/>
        <v/>
      </c>
      <c r="S34" s="154"/>
      <c r="T34" s="166"/>
      <c r="U34" s="137"/>
      <c r="V34" s="137"/>
      <c r="W34" s="156" t="str">
        <f t="shared" si="1"/>
        <v/>
      </c>
      <c r="X34" s="157"/>
      <c r="Y34" s="158"/>
      <c r="Z34" s="158"/>
      <c r="AA34" s="137" t="str">
        <f t="shared" ca="1" si="6"/>
        <v/>
      </c>
      <c r="AB34" s="137" t="str">
        <f t="shared" ca="1" si="2"/>
        <v/>
      </c>
      <c r="AC34" s="160" t="str">
        <f t="shared" ca="1" si="3"/>
        <v/>
      </c>
      <c r="AD34" s="159" t="str">
        <f t="shared" ca="1" si="4"/>
        <v/>
      </c>
      <c r="AE34" s="161"/>
      <c r="AF34" s="161"/>
      <c r="AG34" s="161"/>
      <c r="AH34" s="137"/>
      <c r="AI34" s="164" t="str">
        <f t="shared" si="7"/>
        <v/>
      </c>
      <c r="AJ34" s="164" t="str">
        <f>IF(AND(OpenPendingCases[[#This Row],[Sale Status	]]="Open Sale",OpenPendingCases[[#This Row],[Potential Same Month]]="High"),TEXT(OpenPendingCases[[#This Row],[Request Entry Date]], "[$-en-us]mmmm"),"")</f>
        <v/>
      </c>
      <c r="AK34" s="165" t="str">
        <f>IFERROR(VALUE(SUBSTITUTE(OpenPendingCases[[#This Row],[Price]]," AED","")),"")</f>
        <v/>
      </c>
      <c r="AL34" s="165" t="str">
        <f>IFERROR(VALUE(LEFT(OpenPendingCases[[#This Row],[Price]],FIND(" ",OpenPendingCases[[#This Row],[Price]])-1)),"")</f>
        <v/>
      </c>
      <c r="AM34" s="165" t="str">
        <f>IFERROR(VALUE(_xlfn.TEXTBEFORE(OpenPendingCases[[#This Row],[Price]]," AED")),"")</f>
        <v/>
      </c>
      <c r="AN34" s="165"/>
    </row>
    <row r="35" spans="3:40" ht="18" hidden="1" x14ac:dyDescent="0.35">
      <c r="C35" s="148">
        <v>33</v>
      </c>
      <c r="D35" s="137" t="str">
        <f>IF($U35="Open Sale", IF(MAX($D$4:D34)+1=0, "", MAX($D$4:D34)+1), "")</f>
        <v/>
      </c>
      <c r="E35" s="137" t="str">
        <f>IF($U35="Pending Allocation", IF(MAX($E$4:E34)+1=0, "", MAX($E$4:E34)+1), "")</f>
        <v/>
      </c>
      <c r="F35" s="137"/>
      <c r="G35" s="137"/>
      <c r="H35" s="150"/>
      <c r="I35" s="150"/>
      <c r="J35" s="68" t="str">
        <f>IF(OpenPendingCases[[#This Row],[Timepiece Reference ]]="", "", IF(_xlfn.XLOOKUP(OpenPendingCases[[#This Row],[Timepiece Reference ]], Table1[[Timepiece Reference ]], Table1[CRC STOCK], "Not Found")="YES", "CRC Stock", "Boutique Stock"))</f>
        <v/>
      </c>
      <c r="K35" s="137" t="str">
        <f>IF(OpenPendingCases[[#This Row],[Timepiece Reference ]]="", "", IF(_xlfn.XLOOKUP(OpenPendingCases[[#This Row],[Timepiece Reference ]], Table1[[Timepiece Reference ]], Table1[CRC STOCK], "Not Found")="YES", "CRC Stock", "Boutique Stock"))</f>
        <v/>
      </c>
      <c r="L35" s="140"/>
      <c r="M35" s="141"/>
      <c r="N35" s="137"/>
      <c r="O35" s="134"/>
      <c r="P35" s="94" t="str">
        <f>IFERROR(VLOOKUP(TRIM(O35), Collection!$B$2:$D$1001, 2, FALSE), "")</f>
        <v/>
      </c>
      <c r="Q35" s="190" t="str">
        <f>IFERROR(VLOOKUP(TRIM(O35), Collection!$B$2:$D$1001, 3, FALSE), "")</f>
        <v/>
      </c>
      <c r="R35" s="153" t="str">
        <f t="shared" si="0"/>
        <v/>
      </c>
      <c r="S35" s="154"/>
      <c r="T35" s="166"/>
      <c r="U35" s="137"/>
      <c r="V35" s="137"/>
      <c r="W35" s="156" t="str">
        <f t="shared" si="1"/>
        <v/>
      </c>
      <c r="X35" s="157"/>
      <c r="Y35" s="158"/>
      <c r="Z35" s="158"/>
      <c r="AA35" s="137" t="str">
        <f t="shared" ca="1" si="6"/>
        <v/>
      </c>
      <c r="AB35" s="137" t="str">
        <f t="shared" ca="1" si="2"/>
        <v/>
      </c>
      <c r="AC35" s="160" t="str">
        <f t="shared" ca="1" si="3"/>
        <v/>
      </c>
      <c r="AD35" s="159" t="str">
        <f t="shared" ca="1" si="4"/>
        <v/>
      </c>
      <c r="AE35" s="161"/>
      <c r="AF35" s="161"/>
      <c r="AG35" s="161"/>
      <c r="AH35" s="137"/>
      <c r="AI35" s="164" t="str">
        <f t="shared" si="7"/>
        <v/>
      </c>
      <c r="AJ35" s="164" t="str">
        <f>IF(AND(OpenPendingCases[[#This Row],[Sale Status	]]="Open Sale",OpenPendingCases[[#This Row],[Potential Same Month]]="High"),TEXT(OpenPendingCases[[#This Row],[Request Entry Date]], "[$-en-us]mmmm"),"")</f>
        <v/>
      </c>
      <c r="AK35" s="165" t="str">
        <f>IFERROR(VALUE(SUBSTITUTE(OpenPendingCases[[#This Row],[Price]]," AED","")),"")</f>
        <v/>
      </c>
      <c r="AL35" s="165" t="str">
        <f>IFERROR(VALUE(LEFT(OpenPendingCases[[#This Row],[Price]],FIND(" ",OpenPendingCases[[#This Row],[Price]])-1)),"")</f>
        <v/>
      </c>
      <c r="AM35" s="165" t="str">
        <f>IFERROR(VALUE(_xlfn.TEXTBEFORE(OpenPendingCases[[#This Row],[Price]]," AED")),"")</f>
        <v/>
      </c>
      <c r="AN35" s="165"/>
    </row>
    <row r="36" spans="3:40" ht="18" hidden="1" x14ac:dyDescent="0.35">
      <c r="C36" s="148">
        <v>35</v>
      </c>
      <c r="D36" s="137" t="str">
        <f>IF($U36="Open Sale", IF(MAX($D$4:D35)+1=0, "", MAX($D$4:D35)+1), "")</f>
        <v/>
      </c>
      <c r="E36" s="137" t="str">
        <f>IF($U36="Pending Allocation", IF(MAX($E$4:E35)+1=0, "", MAX($E$4:E35)+1), "")</f>
        <v/>
      </c>
      <c r="F36" s="137"/>
      <c r="G36" s="137"/>
      <c r="H36" s="150"/>
      <c r="I36" s="150"/>
      <c r="J36" s="68" t="str">
        <f>IF(OpenPendingCases[[#This Row],[Timepiece Reference ]]="", "", IF(_xlfn.XLOOKUP(OpenPendingCases[[#This Row],[Timepiece Reference ]], Table1[[Timepiece Reference ]], Table1[CRC STOCK], "Not Found")="YES", "CRC Stock", "Boutique Stock"))</f>
        <v/>
      </c>
      <c r="K36" s="137" t="str">
        <f>IF(OpenPendingCases[[#This Row],[Timepiece Reference ]]="", "", IF(_xlfn.XLOOKUP(OpenPendingCases[[#This Row],[Timepiece Reference ]], Table1[[Timepiece Reference ]], Table1[CRC STOCK], "Not Found")="YES", "CRC Stock", "Boutique Stock"))</f>
        <v/>
      </c>
      <c r="L36" s="140"/>
      <c r="M36" s="141"/>
      <c r="N36" s="137"/>
      <c r="O36" s="134"/>
      <c r="P36" s="94" t="str">
        <f>IFERROR(VLOOKUP(TRIM(O36), Collection!$B$2:$D$1001, 2, FALSE), "")</f>
        <v/>
      </c>
      <c r="Q36" s="190" t="str">
        <f>IFERROR(VLOOKUP(TRIM(O36), Collection!$B$2:$D$1001, 3, FALSE), "")</f>
        <v/>
      </c>
      <c r="R36" s="153" t="str">
        <f t="shared" si="0"/>
        <v/>
      </c>
      <c r="S36" s="154"/>
      <c r="T36" s="166"/>
      <c r="U36" s="137"/>
      <c r="V36" s="137"/>
      <c r="W36" s="156" t="str">
        <f t="shared" si="1"/>
        <v/>
      </c>
      <c r="X36" s="157"/>
      <c r="Y36" s="158"/>
      <c r="Z36" s="158"/>
      <c r="AA36" s="137" t="str">
        <f t="shared" ca="1" si="6"/>
        <v/>
      </c>
      <c r="AB36" s="137" t="str">
        <f t="shared" ca="1" si="2"/>
        <v/>
      </c>
      <c r="AC36" s="160" t="str">
        <f t="shared" ca="1" si="3"/>
        <v/>
      </c>
      <c r="AD36" s="159" t="str">
        <f t="shared" ca="1" si="4"/>
        <v/>
      </c>
      <c r="AE36" s="161"/>
      <c r="AF36" s="161"/>
      <c r="AG36" s="161"/>
      <c r="AH36" s="137"/>
      <c r="AI36" s="164" t="str">
        <f t="shared" si="7"/>
        <v/>
      </c>
      <c r="AJ36" s="164" t="str">
        <f>IF(AND(OpenPendingCases[[#This Row],[Sale Status	]]="Open Sale",OpenPendingCases[[#This Row],[Potential Same Month]]="High"),TEXT(OpenPendingCases[[#This Row],[Request Entry Date]], "[$-en-us]mmmm"),"")</f>
        <v/>
      </c>
      <c r="AK36" s="165" t="str">
        <f>IFERROR(VALUE(SUBSTITUTE(OpenPendingCases[[#This Row],[Price]]," AED","")),"")</f>
        <v/>
      </c>
      <c r="AL36" s="165" t="str">
        <f>IFERROR(VALUE(LEFT(OpenPendingCases[[#This Row],[Price]],FIND(" ",OpenPendingCases[[#This Row],[Price]])-1)),"")</f>
        <v/>
      </c>
      <c r="AM36" s="165" t="str">
        <f>IFERROR(VALUE(_xlfn.TEXTBEFORE(OpenPendingCases[[#This Row],[Price]]," AED")),"")</f>
        <v/>
      </c>
      <c r="AN36" s="165"/>
    </row>
    <row r="37" spans="3:40" ht="18" hidden="1" x14ac:dyDescent="0.35">
      <c r="C37" s="148">
        <v>36</v>
      </c>
      <c r="D37" s="137" t="str">
        <f>IF($U37="Open Sale", IF(MAX($D$4:D36)+1=0, "", MAX($D$4:D36)+1), "")</f>
        <v/>
      </c>
      <c r="E37" s="137" t="str">
        <f>IF($U37="Pending Allocation", IF(MAX($E$4:E36)+1=0, "", MAX($E$4:E36)+1), "")</f>
        <v/>
      </c>
      <c r="F37" s="137"/>
      <c r="G37" s="137"/>
      <c r="H37" s="150"/>
      <c r="I37" s="150"/>
      <c r="J37" s="68" t="str">
        <f>IF(OpenPendingCases[[#This Row],[Timepiece Reference ]]="", "", IF(_xlfn.XLOOKUP(OpenPendingCases[[#This Row],[Timepiece Reference ]], Table1[[Timepiece Reference ]], Table1[CRC STOCK], "Not Found")="YES", "CRC Stock", "Boutique Stock"))</f>
        <v/>
      </c>
      <c r="K37" s="137" t="str">
        <f>IF(OpenPendingCases[[#This Row],[Timepiece Reference ]]="", "", IF(_xlfn.XLOOKUP(OpenPendingCases[[#This Row],[Timepiece Reference ]], Table1[[Timepiece Reference ]], Table1[CRC STOCK], "Not Found")="YES", "CRC Stock", "Boutique Stock"))</f>
        <v/>
      </c>
      <c r="L37" s="140"/>
      <c r="M37" s="141"/>
      <c r="N37" s="137"/>
      <c r="O37" s="134"/>
      <c r="P37" s="94" t="str">
        <f>IFERROR(VLOOKUP(TRIM(O37), Collection!$B$2:$D$1001, 2, FALSE), "")</f>
        <v/>
      </c>
      <c r="Q37" s="190" t="str">
        <f>IFERROR(VLOOKUP(TRIM(O37), Collection!$B$2:$D$1001, 3, FALSE), "")</f>
        <v/>
      </c>
      <c r="R37" s="153" t="str">
        <f t="shared" si="0"/>
        <v/>
      </c>
      <c r="S37" s="154"/>
      <c r="T37" s="166"/>
      <c r="U37" s="137"/>
      <c r="V37" s="137"/>
      <c r="W37" s="156" t="str">
        <f t="shared" si="1"/>
        <v/>
      </c>
      <c r="X37" s="157"/>
      <c r="Y37" s="158"/>
      <c r="Z37" s="158"/>
      <c r="AA37" s="137" t="str">
        <f t="shared" ca="1" si="6"/>
        <v/>
      </c>
      <c r="AB37" s="137" t="str">
        <f t="shared" ca="1" si="2"/>
        <v/>
      </c>
      <c r="AC37" s="160" t="str">
        <f t="shared" ca="1" si="3"/>
        <v/>
      </c>
      <c r="AD37" s="159" t="str">
        <f t="shared" ca="1" si="4"/>
        <v/>
      </c>
      <c r="AE37" s="161"/>
      <c r="AF37" s="161"/>
      <c r="AG37" s="161"/>
      <c r="AH37" s="137"/>
      <c r="AI37" s="164" t="str">
        <f t="shared" si="7"/>
        <v/>
      </c>
      <c r="AJ37" s="164" t="str">
        <f>IF(AND(OpenPendingCases[[#This Row],[Sale Status	]]="Open Sale",OpenPendingCases[[#This Row],[Potential Same Month]]="High"),TEXT(OpenPendingCases[[#This Row],[Request Entry Date]], "[$-en-us]mmmm"),"")</f>
        <v/>
      </c>
      <c r="AK37" s="165" t="str">
        <f>IFERROR(VALUE(SUBSTITUTE(OpenPendingCases[[#This Row],[Price]]," AED","")),"")</f>
        <v/>
      </c>
      <c r="AL37" s="165" t="str">
        <f>IFERROR(VALUE(LEFT(OpenPendingCases[[#This Row],[Price]],FIND(" ",OpenPendingCases[[#This Row],[Price]])-1)),"")</f>
        <v/>
      </c>
      <c r="AM37" s="165" t="str">
        <f>IFERROR(VALUE(_xlfn.TEXTBEFORE(OpenPendingCases[[#This Row],[Price]]," AED")),"")</f>
        <v/>
      </c>
      <c r="AN37" s="165"/>
    </row>
    <row r="38" spans="3:40" ht="18" hidden="1" x14ac:dyDescent="0.35">
      <c r="C38" s="148">
        <v>37</v>
      </c>
      <c r="D38" s="137" t="str">
        <f>IF($U38="Open Sale", IF(MAX($D$4:D37)+1=0, "", MAX($D$4:D37)+1), "")</f>
        <v/>
      </c>
      <c r="E38" s="137" t="str">
        <f>IF($U38="Pending Allocation", IF(MAX($E$4:E37)+1=0, "", MAX($E$4:E37)+1), "")</f>
        <v/>
      </c>
      <c r="F38" s="137"/>
      <c r="G38" s="137"/>
      <c r="H38" s="150"/>
      <c r="I38" s="150"/>
      <c r="J38" s="68" t="str">
        <f>IF(OpenPendingCases[[#This Row],[Timepiece Reference ]]="", "", IF(_xlfn.XLOOKUP(OpenPendingCases[[#This Row],[Timepiece Reference ]], Table1[[Timepiece Reference ]], Table1[CRC STOCK], "Not Found")="YES", "CRC Stock", "Boutique Stock"))</f>
        <v/>
      </c>
      <c r="K38" s="137" t="str">
        <f>IF(OpenPendingCases[[#This Row],[Timepiece Reference ]]="", "", IF(_xlfn.XLOOKUP(OpenPendingCases[[#This Row],[Timepiece Reference ]], Table1[[Timepiece Reference ]], Table1[CRC STOCK], "Not Found")="YES", "CRC Stock", "Boutique Stock"))</f>
        <v/>
      </c>
      <c r="L38" s="140"/>
      <c r="M38" s="141"/>
      <c r="N38" s="137"/>
      <c r="O38" s="134"/>
      <c r="P38" s="94" t="str">
        <f>IFERROR(VLOOKUP(TRIM(O38), Collection!$B$2:$D$1001, 2, FALSE), "")</f>
        <v/>
      </c>
      <c r="Q38" s="190" t="str">
        <f>IFERROR(VLOOKUP(TRIM(O38), Collection!$B$2:$D$1001, 3, FALSE), "")</f>
        <v/>
      </c>
      <c r="R38" s="153" t="str">
        <f t="shared" si="0"/>
        <v/>
      </c>
      <c r="S38" s="154"/>
      <c r="T38" s="166"/>
      <c r="U38" s="137"/>
      <c r="V38" s="137"/>
      <c r="W38" s="156" t="str">
        <f t="shared" si="1"/>
        <v/>
      </c>
      <c r="X38" s="157"/>
      <c r="Y38" s="158"/>
      <c r="Z38" s="158"/>
      <c r="AA38" s="137" t="str">
        <f t="shared" ca="1" si="6"/>
        <v/>
      </c>
      <c r="AB38" s="137" t="str">
        <f t="shared" ca="1" si="2"/>
        <v/>
      </c>
      <c r="AC38" s="160" t="str">
        <f t="shared" ca="1" si="3"/>
        <v/>
      </c>
      <c r="AD38" s="159" t="str">
        <f t="shared" ca="1" si="4"/>
        <v/>
      </c>
      <c r="AE38" s="161"/>
      <c r="AF38" s="161"/>
      <c r="AG38" s="161"/>
      <c r="AH38" s="137"/>
      <c r="AI38" s="164" t="str">
        <f t="shared" si="7"/>
        <v/>
      </c>
      <c r="AJ38" s="164" t="str">
        <f>IF(AND(OpenPendingCases[[#This Row],[Sale Status	]]="Open Sale",OpenPendingCases[[#This Row],[Potential Same Month]]="High"),TEXT(OpenPendingCases[[#This Row],[Request Entry Date]], "[$-en-us]mmmm"),"")</f>
        <v/>
      </c>
      <c r="AK38" s="165" t="str">
        <f>IFERROR(VALUE(SUBSTITUTE(OpenPendingCases[[#This Row],[Price]]," AED","")),"")</f>
        <v/>
      </c>
      <c r="AL38" s="165" t="str">
        <f>IFERROR(VALUE(LEFT(OpenPendingCases[[#This Row],[Price]],FIND(" ",OpenPendingCases[[#This Row],[Price]])-1)),"")</f>
        <v/>
      </c>
      <c r="AM38" s="165" t="str">
        <f>IFERROR(VALUE(_xlfn.TEXTBEFORE(OpenPendingCases[[#This Row],[Price]]," AED")),"")</f>
        <v/>
      </c>
      <c r="AN38" s="165"/>
    </row>
    <row r="39" spans="3:40" ht="18" hidden="1" x14ac:dyDescent="0.35">
      <c r="C39" s="148">
        <v>38</v>
      </c>
      <c r="D39" s="137" t="str">
        <f>IF($U39="Open Sale", IF(MAX($D$4:D38)+1=0, "", MAX($D$4:D38)+1), "")</f>
        <v/>
      </c>
      <c r="E39" s="137" t="str">
        <f>IF($U39="Pending Allocation", IF(MAX($E$4:E38)+1=0, "", MAX($E$4:E38)+1), "")</f>
        <v/>
      </c>
      <c r="F39" s="137"/>
      <c r="G39" s="137"/>
      <c r="H39" s="150"/>
      <c r="I39" s="150"/>
      <c r="J39" s="68" t="str">
        <f>IF(OpenPendingCases[[#This Row],[Timepiece Reference ]]="", "", IF(_xlfn.XLOOKUP(OpenPendingCases[[#This Row],[Timepiece Reference ]], Table1[[Timepiece Reference ]], Table1[CRC STOCK], "Not Found")="YES", "CRC Stock", "Boutique Stock"))</f>
        <v/>
      </c>
      <c r="K39" s="137" t="str">
        <f>IF(OpenPendingCases[[#This Row],[Timepiece Reference ]]="", "", IF(_xlfn.XLOOKUP(OpenPendingCases[[#This Row],[Timepiece Reference ]], Table1[[Timepiece Reference ]], Table1[CRC STOCK], "Not Found")="YES", "CRC Stock", "Boutique Stock"))</f>
        <v/>
      </c>
      <c r="L39" s="140"/>
      <c r="M39" s="141"/>
      <c r="N39" s="137"/>
      <c r="O39" s="134"/>
      <c r="P39" s="94" t="str">
        <f>IFERROR(VLOOKUP(TRIM(O39), Collection!$B$2:$D$1001, 2, FALSE), "")</f>
        <v/>
      </c>
      <c r="Q39" s="190" t="str">
        <f>IFERROR(VLOOKUP(TRIM(O39), Collection!$B$2:$D$1001, 3, FALSE), "")</f>
        <v/>
      </c>
      <c r="R39" s="153" t="str">
        <f t="shared" si="0"/>
        <v/>
      </c>
      <c r="S39" s="154"/>
      <c r="T39" s="166"/>
      <c r="U39" s="137"/>
      <c r="V39" s="137"/>
      <c r="W39" s="156" t="str">
        <f t="shared" si="1"/>
        <v/>
      </c>
      <c r="X39" s="157"/>
      <c r="Y39" s="158"/>
      <c r="Z39" s="158"/>
      <c r="AA39" s="137" t="str">
        <f t="shared" ca="1" si="6"/>
        <v/>
      </c>
      <c r="AB39" s="137" t="str">
        <f t="shared" ca="1" si="2"/>
        <v/>
      </c>
      <c r="AC39" s="160" t="str">
        <f t="shared" ca="1" si="3"/>
        <v/>
      </c>
      <c r="AD39" s="159" t="str">
        <f t="shared" ca="1" si="4"/>
        <v/>
      </c>
      <c r="AE39" s="161"/>
      <c r="AF39" s="161"/>
      <c r="AG39" s="161"/>
      <c r="AH39" s="137"/>
      <c r="AI39" s="164" t="str">
        <f t="shared" si="7"/>
        <v/>
      </c>
      <c r="AJ39" s="164" t="str">
        <f>IF(AND(OpenPendingCases[[#This Row],[Sale Status	]]="Open Sale",OpenPendingCases[[#This Row],[Potential Same Month]]="High"),TEXT(OpenPendingCases[[#This Row],[Request Entry Date]], "[$-en-us]mmmm"),"")</f>
        <v/>
      </c>
      <c r="AK39" s="165" t="str">
        <f>IFERROR(VALUE(SUBSTITUTE(OpenPendingCases[[#This Row],[Price]]," AED","")),"")</f>
        <v/>
      </c>
      <c r="AL39" s="165" t="str">
        <f>IFERROR(VALUE(LEFT(OpenPendingCases[[#This Row],[Price]],FIND(" ",OpenPendingCases[[#This Row],[Price]])-1)),"")</f>
        <v/>
      </c>
      <c r="AM39" s="165" t="str">
        <f>IFERROR(VALUE(_xlfn.TEXTBEFORE(OpenPendingCases[[#This Row],[Price]]," AED")),"")</f>
        <v/>
      </c>
      <c r="AN39" s="165"/>
    </row>
    <row r="40" spans="3:40" ht="18" hidden="1" x14ac:dyDescent="0.35">
      <c r="C40" s="148">
        <v>39</v>
      </c>
      <c r="D40" s="137" t="str">
        <f>IF($U40="Open Sale", IF(MAX($D$4:D39)+1=0, "", MAX($D$4:D39)+1), "")</f>
        <v/>
      </c>
      <c r="E40" s="137" t="str">
        <f>IF($U40="Pending Allocation", IF(MAX($E$4:E39)+1=0, "", MAX($E$4:E39)+1), "")</f>
        <v/>
      </c>
      <c r="F40" s="137"/>
      <c r="G40" s="137"/>
      <c r="H40" s="150"/>
      <c r="I40" s="150"/>
      <c r="J40" s="68" t="str">
        <f>IF(OpenPendingCases[[#This Row],[Timepiece Reference ]]="", "", IF(_xlfn.XLOOKUP(OpenPendingCases[[#This Row],[Timepiece Reference ]], Table1[[Timepiece Reference ]], Table1[CRC STOCK], "Not Found")="YES", "CRC Stock", "Boutique Stock"))</f>
        <v/>
      </c>
      <c r="K40" s="137" t="str">
        <f>IF(OpenPendingCases[[#This Row],[Timepiece Reference ]]="", "", IF(_xlfn.XLOOKUP(OpenPendingCases[[#This Row],[Timepiece Reference ]], Table1[[Timepiece Reference ]], Table1[CRC STOCK], "Not Found")="YES", "CRC Stock", "Boutique Stock"))</f>
        <v/>
      </c>
      <c r="L40" s="140"/>
      <c r="M40" s="141"/>
      <c r="N40" s="137"/>
      <c r="O40" s="134"/>
      <c r="P40" s="94" t="str">
        <f>IFERROR(VLOOKUP(TRIM(O40), Collection!$B$2:$D$1001, 2, FALSE), "")</f>
        <v/>
      </c>
      <c r="Q40" s="190" t="str">
        <f>IFERROR(VLOOKUP(TRIM(O40), Collection!$B$2:$D$1001, 3, FALSE), "")</f>
        <v/>
      </c>
      <c r="R40" s="153" t="str">
        <f t="shared" si="0"/>
        <v/>
      </c>
      <c r="S40" s="154"/>
      <c r="T40" s="166"/>
      <c r="U40" s="137"/>
      <c r="V40" s="137"/>
      <c r="W40" s="156" t="str">
        <f t="shared" si="1"/>
        <v/>
      </c>
      <c r="X40" s="157"/>
      <c r="Y40" s="158"/>
      <c r="Z40" s="158"/>
      <c r="AA40" s="137" t="str">
        <f t="shared" ca="1" si="6"/>
        <v/>
      </c>
      <c r="AB40" s="137" t="str">
        <f t="shared" ca="1" si="2"/>
        <v/>
      </c>
      <c r="AC40" s="160" t="str">
        <f t="shared" ca="1" si="3"/>
        <v/>
      </c>
      <c r="AD40" s="159" t="str">
        <f t="shared" ca="1" si="4"/>
        <v/>
      </c>
      <c r="AE40" s="161"/>
      <c r="AF40" s="161"/>
      <c r="AG40" s="161"/>
      <c r="AH40" s="137"/>
      <c r="AI40" s="164" t="str">
        <f t="shared" si="7"/>
        <v/>
      </c>
      <c r="AJ40" s="164" t="str">
        <f>IF(AND(OpenPendingCases[[#This Row],[Sale Status	]]="Open Sale",OpenPendingCases[[#This Row],[Potential Same Month]]="High"),TEXT(OpenPendingCases[[#This Row],[Request Entry Date]], "[$-en-us]mmmm"),"")</f>
        <v/>
      </c>
      <c r="AK40" s="165" t="str">
        <f>IFERROR(VALUE(SUBSTITUTE(OpenPendingCases[[#This Row],[Price]]," AED","")),"")</f>
        <v/>
      </c>
      <c r="AL40" s="165" t="str">
        <f>IFERROR(VALUE(LEFT(OpenPendingCases[[#This Row],[Price]],FIND(" ",OpenPendingCases[[#This Row],[Price]])-1)),"")</f>
        <v/>
      </c>
      <c r="AM40" s="165" t="str">
        <f>IFERROR(VALUE(_xlfn.TEXTBEFORE(OpenPendingCases[[#This Row],[Price]]," AED")),"")</f>
        <v/>
      </c>
      <c r="AN40" s="165"/>
    </row>
    <row r="41" spans="3:40" ht="18" hidden="1" x14ac:dyDescent="0.35">
      <c r="C41" s="148">
        <v>40</v>
      </c>
      <c r="D41" s="137" t="str">
        <f>IF($U41="Open Sale", IF(MAX($D$4:D40)+1=0, "", MAX($D$4:D40)+1), "")</f>
        <v/>
      </c>
      <c r="E41" s="137" t="str">
        <f>IF($U41="Pending Allocation", IF(MAX($E$4:E40)+1=0, "", MAX($E$4:E40)+1), "")</f>
        <v/>
      </c>
      <c r="F41" s="137"/>
      <c r="G41" s="137"/>
      <c r="H41" s="150"/>
      <c r="I41" s="150"/>
      <c r="J41" s="68" t="str">
        <f>IF(OpenPendingCases[[#This Row],[Timepiece Reference ]]="", "", IF(_xlfn.XLOOKUP(OpenPendingCases[[#This Row],[Timepiece Reference ]], Table1[[Timepiece Reference ]], Table1[CRC STOCK], "Not Found")="YES", "CRC Stock", "Boutique Stock"))</f>
        <v/>
      </c>
      <c r="K41" s="137" t="str">
        <f>IF(OpenPendingCases[[#This Row],[Timepiece Reference ]]="", "", IF(_xlfn.XLOOKUP(OpenPendingCases[[#This Row],[Timepiece Reference ]], Table1[[Timepiece Reference ]], Table1[CRC STOCK], "Not Found")="YES", "CRC Stock", "Boutique Stock"))</f>
        <v/>
      </c>
      <c r="L41" s="140"/>
      <c r="M41" s="141"/>
      <c r="N41" s="137"/>
      <c r="O41" s="134"/>
      <c r="P41" s="94" t="str">
        <f>IFERROR(VLOOKUP(TRIM(O41), Collection!$B$2:$D$1001, 2, FALSE), "")</f>
        <v/>
      </c>
      <c r="Q41" s="190" t="str">
        <f>IFERROR(VLOOKUP(TRIM(O41), Collection!$B$2:$D$1001, 3, FALSE), "")</f>
        <v/>
      </c>
      <c r="R41" s="153" t="str">
        <f t="shared" si="0"/>
        <v/>
      </c>
      <c r="S41" s="154"/>
      <c r="T41" s="166"/>
      <c r="U41" s="137"/>
      <c r="V41" s="137"/>
      <c r="W41" s="156" t="str">
        <f t="shared" si="1"/>
        <v/>
      </c>
      <c r="X41" s="157"/>
      <c r="Y41" s="158"/>
      <c r="Z41" s="158"/>
      <c r="AA41" s="137" t="str">
        <f t="shared" ca="1" si="6"/>
        <v/>
      </c>
      <c r="AB41" s="137" t="str">
        <f t="shared" ca="1" si="2"/>
        <v/>
      </c>
      <c r="AC41" s="160" t="str">
        <f t="shared" ca="1" si="3"/>
        <v/>
      </c>
      <c r="AD41" s="159" t="str">
        <f t="shared" ca="1" si="4"/>
        <v/>
      </c>
      <c r="AE41" s="161"/>
      <c r="AF41" s="161"/>
      <c r="AG41" s="161"/>
      <c r="AH41" s="137"/>
      <c r="AI41" s="164" t="str">
        <f t="shared" si="7"/>
        <v/>
      </c>
      <c r="AJ41" s="164" t="str">
        <f>IF(AND(OpenPendingCases[[#This Row],[Sale Status	]]="Open Sale",OpenPendingCases[[#This Row],[Potential Same Month]]="High"),TEXT(OpenPendingCases[[#This Row],[Request Entry Date]], "[$-en-us]mmmm"),"")</f>
        <v/>
      </c>
      <c r="AK41" s="165" t="str">
        <f>IFERROR(VALUE(SUBSTITUTE(OpenPendingCases[[#This Row],[Price]]," AED","")),"")</f>
        <v/>
      </c>
      <c r="AL41" s="165" t="str">
        <f>IFERROR(VALUE(LEFT(OpenPendingCases[[#This Row],[Price]],FIND(" ",OpenPendingCases[[#This Row],[Price]])-1)),"")</f>
        <v/>
      </c>
      <c r="AM41" s="165" t="str">
        <f>IFERROR(VALUE(_xlfn.TEXTBEFORE(OpenPendingCases[[#This Row],[Price]]," AED")),"")</f>
        <v/>
      </c>
      <c r="AN41" s="165"/>
    </row>
    <row r="42" spans="3:40" ht="18" hidden="1" x14ac:dyDescent="0.35">
      <c r="C42" s="148">
        <v>41</v>
      </c>
      <c r="D42" s="137" t="str">
        <f>IF($U42="Open Sale", IF(MAX($D$4:D41)+1=0, "", MAX($D$4:D41)+1), "")</f>
        <v/>
      </c>
      <c r="E42" s="137" t="str">
        <f>IF($U42="Pending Allocation", IF(MAX($E$4:E41)+1=0, "", MAX($E$4:E41)+1), "")</f>
        <v/>
      </c>
      <c r="F42" s="137"/>
      <c r="G42" s="137"/>
      <c r="H42" s="150"/>
      <c r="I42" s="150"/>
      <c r="J42" s="68" t="str">
        <f>IF(OpenPendingCases[[#This Row],[Timepiece Reference ]]="", "", IF(_xlfn.XLOOKUP(OpenPendingCases[[#This Row],[Timepiece Reference ]], Table1[[Timepiece Reference ]], Table1[CRC STOCK], "Not Found")="YES", "CRC Stock", "Boutique Stock"))</f>
        <v/>
      </c>
      <c r="K42" s="137" t="str">
        <f>IF(OpenPendingCases[[#This Row],[Timepiece Reference ]]="", "", IF(_xlfn.XLOOKUP(OpenPendingCases[[#This Row],[Timepiece Reference ]], Table1[[Timepiece Reference ]], Table1[CRC STOCK], "Not Found")="YES", "CRC Stock", "Boutique Stock"))</f>
        <v/>
      </c>
      <c r="L42" s="140"/>
      <c r="M42" s="141"/>
      <c r="N42" s="137"/>
      <c r="O42" s="134"/>
      <c r="P42" s="94" t="str">
        <f>IFERROR(VLOOKUP(TRIM(O42), Collection!$B$2:$D$1001, 2, FALSE), "")</f>
        <v/>
      </c>
      <c r="Q42" s="190" t="str">
        <f>IFERROR(VLOOKUP(TRIM(O42), Collection!$B$2:$D$1001, 3, FALSE), "")</f>
        <v/>
      </c>
      <c r="R42" s="153" t="str">
        <f t="shared" si="0"/>
        <v/>
      </c>
      <c r="S42" s="154"/>
      <c r="T42" s="166"/>
      <c r="U42" s="137"/>
      <c r="V42" s="137"/>
      <c r="W42" s="156" t="str">
        <f t="shared" si="1"/>
        <v/>
      </c>
      <c r="X42" s="157"/>
      <c r="Y42" s="158"/>
      <c r="Z42" s="158"/>
      <c r="AA42" s="137" t="str">
        <f t="shared" ca="1" si="6"/>
        <v/>
      </c>
      <c r="AB42" s="137" t="str">
        <f t="shared" ca="1" si="2"/>
        <v/>
      </c>
      <c r="AC42" s="160" t="str">
        <f t="shared" ca="1" si="3"/>
        <v/>
      </c>
      <c r="AD42" s="159" t="str">
        <f t="shared" ca="1" si="4"/>
        <v/>
      </c>
      <c r="AE42" s="161"/>
      <c r="AF42" s="161"/>
      <c r="AG42" s="161"/>
      <c r="AH42" s="137"/>
      <c r="AI42" s="164" t="str">
        <f t="shared" si="7"/>
        <v/>
      </c>
      <c r="AJ42" s="164" t="str">
        <f>IF(AND(OpenPendingCases[[#This Row],[Sale Status	]]="Open Sale",OpenPendingCases[[#This Row],[Potential Same Month]]="High"),TEXT(OpenPendingCases[[#This Row],[Request Entry Date]], "[$-en-us]mmmm"),"")</f>
        <v/>
      </c>
      <c r="AK42" s="165" t="str">
        <f>IFERROR(VALUE(SUBSTITUTE(OpenPendingCases[[#This Row],[Price]]," AED","")),"")</f>
        <v/>
      </c>
      <c r="AL42" s="165" t="str">
        <f>IFERROR(VALUE(LEFT(OpenPendingCases[[#This Row],[Price]],FIND(" ",OpenPendingCases[[#This Row],[Price]])-1)),"")</f>
        <v/>
      </c>
      <c r="AM42" s="165" t="str">
        <f>IFERROR(VALUE(_xlfn.TEXTBEFORE(OpenPendingCases[[#This Row],[Price]]," AED")),"")</f>
        <v/>
      </c>
      <c r="AN42" s="165"/>
    </row>
    <row r="43" spans="3:40" ht="18" hidden="1" x14ac:dyDescent="0.35">
      <c r="C43" s="148">
        <v>42</v>
      </c>
      <c r="D43" s="137" t="str">
        <f>IF($U43="Open Sale", IF(MAX($D$4:D42)+1=0, "", MAX($D$4:D42)+1), "")</f>
        <v/>
      </c>
      <c r="E43" s="137" t="str">
        <f>IF($U43="Pending Allocation", IF(MAX($E$4:E42)+1=0, "", MAX($E$4:E42)+1), "")</f>
        <v/>
      </c>
      <c r="F43" s="137"/>
      <c r="G43" s="137"/>
      <c r="H43" s="150"/>
      <c r="I43" s="150"/>
      <c r="J43" s="68" t="str">
        <f>IF(OpenPendingCases[[#This Row],[Timepiece Reference ]]="", "", IF(_xlfn.XLOOKUP(OpenPendingCases[[#This Row],[Timepiece Reference ]], Table1[[Timepiece Reference ]], Table1[CRC STOCK], "Not Found")="YES", "CRC Stock", "Boutique Stock"))</f>
        <v/>
      </c>
      <c r="K43" s="137" t="str">
        <f>IF(OpenPendingCases[[#This Row],[Timepiece Reference ]]="", "", IF(_xlfn.XLOOKUP(OpenPendingCases[[#This Row],[Timepiece Reference ]], Table1[[Timepiece Reference ]], Table1[CRC STOCK], "Not Found")="YES", "CRC Stock", "Boutique Stock"))</f>
        <v/>
      </c>
      <c r="L43" s="140"/>
      <c r="M43" s="141"/>
      <c r="N43" s="137"/>
      <c r="O43" s="134"/>
      <c r="P43" s="94" t="str">
        <f>IFERROR(VLOOKUP(TRIM(O43), Collection!$B$2:$D$1001, 2, FALSE), "")</f>
        <v/>
      </c>
      <c r="Q43" s="190" t="str">
        <f>IFERROR(VLOOKUP(TRIM(O43), Collection!$B$2:$D$1001, 3, FALSE), "")</f>
        <v/>
      </c>
      <c r="R43" s="153" t="str">
        <f t="shared" si="0"/>
        <v/>
      </c>
      <c r="S43" s="154"/>
      <c r="T43" s="166"/>
      <c r="U43" s="137"/>
      <c r="V43" s="137"/>
      <c r="W43" s="156" t="str">
        <f t="shared" si="1"/>
        <v/>
      </c>
      <c r="X43" s="157"/>
      <c r="Y43" s="158"/>
      <c r="Z43" s="158"/>
      <c r="AA43" s="137" t="str">
        <f t="shared" ca="1" si="6"/>
        <v/>
      </c>
      <c r="AB43" s="137" t="str">
        <f t="shared" ca="1" si="2"/>
        <v/>
      </c>
      <c r="AC43" s="160" t="str">
        <f t="shared" ca="1" si="3"/>
        <v/>
      </c>
      <c r="AD43" s="159" t="str">
        <f t="shared" ca="1" si="4"/>
        <v/>
      </c>
      <c r="AE43" s="161"/>
      <c r="AF43" s="161"/>
      <c r="AG43" s="161"/>
      <c r="AH43" s="137"/>
      <c r="AI43" s="164" t="str">
        <f t="shared" si="7"/>
        <v/>
      </c>
      <c r="AJ43" s="164" t="str">
        <f>IF(AND(OpenPendingCases[[#This Row],[Sale Status	]]="Open Sale",OpenPendingCases[[#This Row],[Potential Same Month]]="High"),TEXT(OpenPendingCases[[#This Row],[Request Entry Date]], "[$-en-us]mmmm"),"")</f>
        <v/>
      </c>
      <c r="AK43" s="165" t="str">
        <f>IFERROR(VALUE(SUBSTITUTE(OpenPendingCases[[#This Row],[Price]]," AED","")),"")</f>
        <v/>
      </c>
      <c r="AL43" s="165" t="str">
        <f>IFERROR(VALUE(LEFT(OpenPendingCases[[#This Row],[Price]],FIND(" ",OpenPendingCases[[#This Row],[Price]])-1)),"")</f>
        <v/>
      </c>
      <c r="AM43" s="165" t="str">
        <f>IFERROR(VALUE(_xlfn.TEXTBEFORE(OpenPendingCases[[#This Row],[Price]]," AED")),"")</f>
        <v/>
      </c>
      <c r="AN43" s="165"/>
    </row>
    <row r="44" spans="3:40" ht="18" hidden="1" x14ac:dyDescent="0.35">
      <c r="C44" s="148">
        <v>43</v>
      </c>
      <c r="D44" s="137" t="str">
        <f>IF($U44="Open Sale", IF(MAX($D$4:D43)+1=0, "", MAX($D$4:D43)+1), "")</f>
        <v/>
      </c>
      <c r="E44" s="137" t="str">
        <f>IF($U44="Pending Allocation", IF(MAX($E$4:E43)+1=0, "", MAX($E$4:E43)+1), "")</f>
        <v/>
      </c>
      <c r="F44" s="137"/>
      <c r="G44" s="137"/>
      <c r="H44" s="150"/>
      <c r="I44" s="150"/>
      <c r="J44" s="68" t="str">
        <f>IF(OpenPendingCases[[#This Row],[Timepiece Reference ]]="", "", IF(_xlfn.XLOOKUP(OpenPendingCases[[#This Row],[Timepiece Reference ]], Table1[[Timepiece Reference ]], Table1[CRC STOCK], "Not Found")="YES", "CRC Stock", "Boutique Stock"))</f>
        <v/>
      </c>
      <c r="K44" s="137" t="str">
        <f>IF(OpenPendingCases[[#This Row],[Timepiece Reference ]]="", "", IF(_xlfn.XLOOKUP(OpenPendingCases[[#This Row],[Timepiece Reference ]], Table1[[Timepiece Reference ]], Table1[CRC STOCK], "Not Found")="YES", "CRC Stock", "Boutique Stock"))</f>
        <v/>
      </c>
      <c r="L44" s="140"/>
      <c r="M44" s="141"/>
      <c r="N44" s="137"/>
      <c r="O44" s="134"/>
      <c r="P44" s="94" t="str">
        <f>IFERROR(VLOOKUP(TRIM(O44), Collection!$B$2:$D$1001, 2, FALSE), "")</f>
        <v/>
      </c>
      <c r="Q44" s="190" t="str">
        <f>IFERROR(VLOOKUP(TRIM(O44), Collection!$B$2:$D$1001, 3, FALSE), "")</f>
        <v/>
      </c>
      <c r="R44" s="153" t="str">
        <f t="shared" si="0"/>
        <v/>
      </c>
      <c r="S44" s="154"/>
      <c r="T44" s="166"/>
      <c r="U44" s="137"/>
      <c r="V44" s="137"/>
      <c r="W44" s="156" t="str">
        <f t="shared" si="1"/>
        <v/>
      </c>
      <c r="X44" s="157"/>
      <c r="Y44" s="158"/>
      <c r="Z44" s="158"/>
      <c r="AA44" s="137" t="str">
        <f t="shared" ca="1" si="6"/>
        <v/>
      </c>
      <c r="AB44" s="137" t="str">
        <f t="shared" ca="1" si="2"/>
        <v/>
      </c>
      <c r="AC44" s="160" t="str">
        <f t="shared" ca="1" si="3"/>
        <v/>
      </c>
      <c r="AD44" s="159" t="str">
        <f t="shared" ca="1" si="4"/>
        <v/>
      </c>
      <c r="AE44" s="161"/>
      <c r="AF44" s="161"/>
      <c r="AG44" s="161"/>
      <c r="AH44" s="137"/>
      <c r="AI44" s="164" t="str">
        <f t="shared" si="7"/>
        <v/>
      </c>
      <c r="AJ44" s="164" t="str">
        <f>IF(AND(OpenPendingCases[[#This Row],[Sale Status	]]="Open Sale",OpenPendingCases[[#This Row],[Potential Same Month]]="High"),TEXT(OpenPendingCases[[#This Row],[Request Entry Date]], "[$-en-us]mmmm"),"")</f>
        <v/>
      </c>
      <c r="AK44" s="165" t="str">
        <f>IFERROR(VALUE(SUBSTITUTE(OpenPendingCases[[#This Row],[Price]]," AED","")),"")</f>
        <v/>
      </c>
      <c r="AL44" s="165" t="str">
        <f>IFERROR(VALUE(LEFT(OpenPendingCases[[#This Row],[Price]],FIND(" ",OpenPendingCases[[#This Row],[Price]])-1)),"")</f>
        <v/>
      </c>
      <c r="AM44" s="165" t="str">
        <f>IFERROR(VALUE(_xlfn.TEXTBEFORE(OpenPendingCases[[#This Row],[Price]]," AED")),"")</f>
        <v/>
      </c>
      <c r="AN44" s="165"/>
    </row>
    <row r="45" spans="3:40" ht="18" hidden="1" x14ac:dyDescent="0.35">
      <c r="C45" s="148">
        <v>44</v>
      </c>
      <c r="D45" s="137" t="str">
        <f>IF($U45="Open Sale", IF(MAX($D$4:D44)+1=0, "", MAX($D$4:D44)+1), "")</f>
        <v/>
      </c>
      <c r="E45" s="137" t="str">
        <f>IF($U45="Pending Allocation", IF(MAX($E$4:E44)+1=0, "", MAX($E$4:E44)+1), "")</f>
        <v/>
      </c>
      <c r="F45" s="137"/>
      <c r="G45" s="137"/>
      <c r="H45" s="150"/>
      <c r="I45" s="150"/>
      <c r="J45" s="68" t="str">
        <f>IF(OpenPendingCases[[#This Row],[Timepiece Reference ]]="", "", IF(_xlfn.XLOOKUP(OpenPendingCases[[#This Row],[Timepiece Reference ]], Table1[[Timepiece Reference ]], Table1[CRC STOCK], "Not Found")="YES", "CRC Stock", "Boutique Stock"))</f>
        <v/>
      </c>
      <c r="K45" s="137" t="str">
        <f>IF(OpenPendingCases[[#This Row],[Timepiece Reference ]]="", "", IF(_xlfn.XLOOKUP(OpenPendingCases[[#This Row],[Timepiece Reference ]], Table1[[Timepiece Reference ]], Table1[CRC STOCK], "Not Found")="YES", "CRC Stock", "Boutique Stock"))</f>
        <v/>
      </c>
      <c r="L45" s="140"/>
      <c r="M45" s="141"/>
      <c r="N45" s="137"/>
      <c r="O45" s="134"/>
      <c r="P45" s="94" t="str">
        <f>IFERROR(VLOOKUP(TRIM(O45), Collection!$B$2:$D$1001, 2, FALSE), "")</f>
        <v/>
      </c>
      <c r="Q45" s="190" t="str">
        <f>IFERROR(VLOOKUP(TRIM(O45), Collection!$B$2:$D$1001, 3, FALSE), "")</f>
        <v/>
      </c>
      <c r="R45" s="153" t="str">
        <f t="shared" si="0"/>
        <v/>
      </c>
      <c r="S45" s="154"/>
      <c r="T45" s="166"/>
      <c r="U45" s="137"/>
      <c r="V45" s="137"/>
      <c r="W45" s="156" t="str">
        <f t="shared" si="1"/>
        <v/>
      </c>
      <c r="X45" s="157"/>
      <c r="Y45" s="158"/>
      <c r="Z45" s="158"/>
      <c r="AA45" s="137" t="str">
        <f t="shared" ca="1" si="6"/>
        <v/>
      </c>
      <c r="AB45" s="137" t="str">
        <f t="shared" ca="1" si="2"/>
        <v/>
      </c>
      <c r="AC45" s="160" t="str">
        <f t="shared" ca="1" si="3"/>
        <v/>
      </c>
      <c r="AD45" s="159" t="str">
        <f t="shared" ca="1" si="4"/>
        <v/>
      </c>
      <c r="AE45" s="161"/>
      <c r="AF45" s="161"/>
      <c r="AG45" s="161"/>
      <c r="AH45" s="137"/>
      <c r="AI45" s="164" t="str">
        <f t="shared" si="7"/>
        <v/>
      </c>
      <c r="AJ45" s="164" t="str">
        <f>IF(AND(OpenPendingCases[[#This Row],[Sale Status	]]="Open Sale",OpenPendingCases[[#This Row],[Potential Same Month]]="High"),TEXT(OpenPendingCases[[#This Row],[Request Entry Date]], "[$-en-us]mmmm"),"")</f>
        <v/>
      </c>
      <c r="AK45" s="165" t="str">
        <f>IFERROR(VALUE(SUBSTITUTE(OpenPendingCases[[#This Row],[Price]]," AED","")),"")</f>
        <v/>
      </c>
      <c r="AL45" s="165" t="str">
        <f>IFERROR(VALUE(LEFT(OpenPendingCases[[#This Row],[Price]],FIND(" ",OpenPendingCases[[#This Row],[Price]])-1)),"")</f>
        <v/>
      </c>
      <c r="AM45" s="165" t="str">
        <f>IFERROR(VALUE(_xlfn.TEXTBEFORE(OpenPendingCases[[#This Row],[Price]]," AED")),"")</f>
        <v/>
      </c>
      <c r="AN45" s="165"/>
    </row>
    <row r="46" spans="3:40" ht="18" hidden="1" x14ac:dyDescent="0.35">
      <c r="C46" s="148">
        <v>45</v>
      </c>
      <c r="D46" s="137" t="str">
        <f>IF($U46="Open Sale", IF(MAX($D$4:D45)+1=0, "", MAX($D$4:D45)+1), "")</f>
        <v/>
      </c>
      <c r="E46" s="137" t="str">
        <f>IF($U46="Pending Allocation", IF(MAX($E$4:E45)+1=0, "", MAX($E$4:E45)+1), "")</f>
        <v/>
      </c>
      <c r="F46" s="137"/>
      <c r="G46" s="137"/>
      <c r="H46" s="150"/>
      <c r="I46" s="150"/>
      <c r="J46" s="68" t="str">
        <f>IF(OpenPendingCases[[#This Row],[Timepiece Reference ]]="", "", IF(_xlfn.XLOOKUP(OpenPendingCases[[#This Row],[Timepiece Reference ]], Table1[[Timepiece Reference ]], Table1[CRC STOCK], "Not Found")="YES", "CRC Stock", "Boutique Stock"))</f>
        <v/>
      </c>
      <c r="K46" s="137" t="str">
        <f>IF(OpenPendingCases[[#This Row],[Timepiece Reference ]]="", "", IF(_xlfn.XLOOKUP(OpenPendingCases[[#This Row],[Timepiece Reference ]], Table1[[Timepiece Reference ]], Table1[CRC STOCK], "Not Found")="YES", "CRC Stock", "Boutique Stock"))</f>
        <v/>
      </c>
      <c r="L46" s="140"/>
      <c r="M46" s="141"/>
      <c r="N46" s="137"/>
      <c r="O46" s="134"/>
      <c r="P46" s="94" t="str">
        <f>IFERROR(VLOOKUP(TRIM(O46), Collection!$B$2:$D$1001, 2, FALSE), "")</f>
        <v/>
      </c>
      <c r="Q46" s="190" t="str">
        <f>IFERROR(VLOOKUP(TRIM(O46), Collection!$B$2:$D$1001, 3, FALSE), "")</f>
        <v/>
      </c>
      <c r="R46" s="153" t="str">
        <f t="shared" si="0"/>
        <v/>
      </c>
      <c r="S46" s="154"/>
      <c r="T46" s="166"/>
      <c r="U46" s="137"/>
      <c r="V46" s="137"/>
      <c r="W46" s="156" t="str">
        <f t="shared" si="1"/>
        <v/>
      </c>
      <c r="X46" s="157"/>
      <c r="Y46" s="158"/>
      <c r="Z46" s="158"/>
      <c r="AA46" s="137" t="str">
        <f t="shared" ca="1" si="6"/>
        <v/>
      </c>
      <c r="AB46" s="137" t="str">
        <f t="shared" ca="1" si="2"/>
        <v/>
      </c>
      <c r="AC46" s="160" t="str">
        <f t="shared" ca="1" si="3"/>
        <v/>
      </c>
      <c r="AD46" s="159" t="str">
        <f t="shared" ca="1" si="4"/>
        <v/>
      </c>
      <c r="AE46" s="161"/>
      <c r="AF46" s="161"/>
      <c r="AG46" s="161"/>
      <c r="AH46" s="137"/>
      <c r="AI46" s="164" t="str">
        <f t="shared" si="7"/>
        <v/>
      </c>
      <c r="AJ46" s="164" t="str">
        <f>IF(AND(OpenPendingCases[[#This Row],[Sale Status	]]="Open Sale",OpenPendingCases[[#This Row],[Potential Same Month]]="High"),TEXT(OpenPendingCases[[#This Row],[Request Entry Date]], "[$-en-us]mmmm"),"")</f>
        <v/>
      </c>
      <c r="AK46" s="165" t="str">
        <f>IFERROR(VALUE(SUBSTITUTE(OpenPendingCases[[#This Row],[Price]]," AED","")),"")</f>
        <v/>
      </c>
      <c r="AL46" s="165" t="str">
        <f>IFERROR(VALUE(LEFT(OpenPendingCases[[#This Row],[Price]],FIND(" ",OpenPendingCases[[#This Row],[Price]])-1)),"")</f>
        <v/>
      </c>
      <c r="AM46" s="165" t="str">
        <f>IFERROR(VALUE(_xlfn.TEXTBEFORE(OpenPendingCases[[#This Row],[Price]]," AED")),"")</f>
        <v/>
      </c>
      <c r="AN46" s="165"/>
    </row>
    <row r="47" spans="3:40" ht="18" hidden="1" x14ac:dyDescent="0.35">
      <c r="C47" s="148">
        <v>46</v>
      </c>
      <c r="D47" s="137" t="str">
        <f>IF($U47="Open Sale", IF(MAX($D$4:D46)+1=0, "", MAX($D$4:D46)+1), "")</f>
        <v/>
      </c>
      <c r="E47" s="137" t="str">
        <f>IF($U47="Pending Allocation", IF(MAX($E$4:E46)+1=0, "", MAX($E$4:E46)+1), "")</f>
        <v/>
      </c>
      <c r="F47" s="137"/>
      <c r="G47" s="137"/>
      <c r="H47" s="150"/>
      <c r="I47" s="150"/>
      <c r="J47" s="68" t="str">
        <f>IF(OpenPendingCases[[#This Row],[Timepiece Reference ]]="", "", IF(_xlfn.XLOOKUP(OpenPendingCases[[#This Row],[Timepiece Reference ]], Table1[[Timepiece Reference ]], Table1[CRC STOCK], "Not Found")="YES", "CRC Stock", "Boutique Stock"))</f>
        <v/>
      </c>
      <c r="K47" s="137" t="str">
        <f>IF(OpenPendingCases[[#This Row],[Timepiece Reference ]]="", "", IF(_xlfn.XLOOKUP(OpenPendingCases[[#This Row],[Timepiece Reference ]], Table1[[Timepiece Reference ]], Table1[CRC STOCK], "Not Found")="YES", "CRC Stock", "Boutique Stock"))</f>
        <v/>
      </c>
      <c r="L47" s="140"/>
      <c r="M47" s="141"/>
      <c r="N47" s="137"/>
      <c r="O47" s="134"/>
      <c r="P47" s="94" t="str">
        <f>IFERROR(VLOOKUP(TRIM(O47), Collection!$B$2:$D$1001, 2, FALSE), "")</f>
        <v/>
      </c>
      <c r="Q47" s="190" t="str">
        <f>IFERROR(VLOOKUP(TRIM(O47), Collection!$B$2:$D$1001, 3, FALSE), "")</f>
        <v/>
      </c>
      <c r="R47" s="153" t="str">
        <f t="shared" si="0"/>
        <v/>
      </c>
      <c r="S47" s="154"/>
      <c r="T47" s="166"/>
      <c r="U47" s="137"/>
      <c r="V47" s="137"/>
      <c r="W47" s="156" t="str">
        <f t="shared" si="1"/>
        <v/>
      </c>
      <c r="X47" s="157"/>
      <c r="Y47" s="158"/>
      <c r="Z47" s="158"/>
      <c r="AA47" s="137" t="str">
        <f t="shared" ca="1" si="6"/>
        <v/>
      </c>
      <c r="AB47" s="137" t="str">
        <f t="shared" ca="1" si="2"/>
        <v/>
      </c>
      <c r="AC47" s="160" t="str">
        <f t="shared" ca="1" si="3"/>
        <v/>
      </c>
      <c r="AD47" s="159" t="str">
        <f t="shared" ca="1" si="4"/>
        <v/>
      </c>
      <c r="AE47" s="161"/>
      <c r="AF47" s="161"/>
      <c r="AG47" s="161"/>
      <c r="AH47" s="137"/>
      <c r="AI47" s="164" t="str">
        <f t="shared" si="7"/>
        <v/>
      </c>
      <c r="AJ47" s="164" t="str">
        <f>IF(AND(OpenPendingCases[[#This Row],[Sale Status	]]="Open Sale",OpenPendingCases[[#This Row],[Potential Same Month]]="High"),TEXT(OpenPendingCases[[#This Row],[Request Entry Date]], "[$-en-us]mmmm"),"")</f>
        <v/>
      </c>
      <c r="AK47" s="165" t="str">
        <f>IFERROR(VALUE(SUBSTITUTE(OpenPendingCases[[#This Row],[Price]]," AED","")),"")</f>
        <v/>
      </c>
      <c r="AL47" s="165" t="str">
        <f>IFERROR(VALUE(LEFT(OpenPendingCases[[#This Row],[Price]],FIND(" ",OpenPendingCases[[#This Row],[Price]])-1)),"")</f>
        <v/>
      </c>
      <c r="AM47" s="165" t="str">
        <f>IFERROR(VALUE(_xlfn.TEXTBEFORE(OpenPendingCases[[#This Row],[Price]]," AED")),"")</f>
        <v/>
      </c>
      <c r="AN47" s="165"/>
    </row>
    <row r="48" spans="3:40" ht="18" hidden="1" x14ac:dyDescent="0.35">
      <c r="C48" s="148">
        <v>47</v>
      </c>
      <c r="D48" s="137" t="str">
        <f>IF($U48="Open Sale", IF(MAX($D$4:D47)+1=0, "", MAX($D$4:D47)+1), "")</f>
        <v/>
      </c>
      <c r="E48" s="137" t="str">
        <f>IF($U48="Pending Allocation", IF(MAX($E$4:E47)+1=0, "", MAX($E$4:E47)+1), "")</f>
        <v/>
      </c>
      <c r="F48" s="137"/>
      <c r="G48" s="137"/>
      <c r="H48" s="150"/>
      <c r="I48" s="150"/>
      <c r="J48" s="68" t="str">
        <f>IF(OpenPendingCases[[#This Row],[Timepiece Reference ]]="", "", IF(_xlfn.XLOOKUP(OpenPendingCases[[#This Row],[Timepiece Reference ]], Table1[[Timepiece Reference ]], Table1[CRC STOCK], "Not Found")="YES", "CRC Stock", "Boutique Stock"))</f>
        <v/>
      </c>
      <c r="K48" s="137" t="str">
        <f>IF(OpenPendingCases[[#This Row],[Timepiece Reference ]]="", "", IF(_xlfn.XLOOKUP(OpenPendingCases[[#This Row],[Timepiece Reference ]], Table1[[Timepiece Reference ]], Table1[CRC STOCK], "Not Found")="YES", "CRC Stock", "Boutique Stock"))</f>
        <v/>
      </c>
      <c r="L48" s="140"/>
      <c r="M48" s="141"/>
      <c r="N48" s="137"/>
      <c r="O48" s="134"/>
      <c r="P48" s="94" t="str">
        <f>IFERROR(VLOOKUP(TRIM(O48), Collection!$B$2:$D$1001, 2, FALSE), "")</f>
        <v/>
      </c>
      <c r="Q48" s="190" t="str">
        <f>IFERROR(VLOOKUP(TRIM(O48), Collection!$B$2:$D$1001, 3, FALSE), "")</f>
        <v/>
      </c>
      <c r="R48" s="153" t="str">
        <f t="shared" si="0"/>
        <v/>
      </c>
      <c r="S48" s="154"/>
      <c r="T48" s="166"/>
      <c r="U48" s="137"/>
      <c r="V48" s="137"/>
      <c r="W48" s="156" t="str">
        <f t="shared" si="1"/>
        <v/>
      </c>
      <c r="X48" s="157"/>
      <c r="Y48" s="158"/>
      <c r="Z48" s="158"/>
      <c r="AA48" s="137" t="str">
        <f t="shared" ca="1" si="6"/>
        <v/>
      </c>
      <c r="AB48" s="137" t="str">
        <f t="shared" ca="1" si="2"/>
        <v/>
      </c>
      <c r="AC48" s="160" t="str">
        <f t="shared" ca="1" si="3"/>
        <v/>
      </c>
      <c r="AD48" s="159" t="str">
        <f t="shared" ca="1" si="4"/>
        <v/>
      </c>
      <c r="AE48" s="161"/>
      <c r="AF48" s="161"/>
      <c r="AG48" s="161"/>
      <c r="AH48" s="137"/>
      <c r="AI48" s="164" t="str">
        <f t="shared" si="7"/>
        <v/>
      </c>
      <c r="AJ48" s="164" t="str">
        <f>IF(AND(OpenPendingCases[[#This Row],[Sale Status	]]="Open Sale",OpenPendingCases[[#This Row],[Potential Same Month]]="High"),TEXT(OpenPendingCases[[#This Row],[Request Entry Date]], "[$-en-us]mmmm"),"")</f>
        <v/>
      </c>
      <c r="AK48" s="165" t="str">
        <f>IFERROR(VALUE(SUBSTITUTE(OpenPendingCases[[#This Row],[Price]]," AED","")),"")</f>
        <v/>
      </c>
      <c r="AL48" s="165" t="str">
        <f>IFERROR(VALUE(LEFT(OpenPendingCases[[#This Row],[Price]],FIND(" ",OpenPendingCases[[#This Row],[Price]])-1)),"")</f>
        <v/>
      </c>
      <c r="AM48" s="165" t="str">
        <f>IFERROR(VALUE(_xlfn.TEXTBEFORE(OpenPendingCases[[#This Row],[Price]]," AED")),"")</f>
        <v/>
      </c>
      <c r="AN48" s="165"/>
    </row>
    <row r="49" spans="3:40" ht="18" hidden="1" x14ac:dyDescent="0.35">
      <c r="C49" s="148">
        <v>48</v>
      </c>
      <c r="D49" s="137" t="str">
        <f>IF($U49="Open Sale", IF(MAX($D$4:D48)+1=0, "", MAX($D$4:D48)+1), "")</f>
        <v/>
      </c>
      <c r="E49" s="137" t="str">
        <f>IF($U49="Pending Allocation", IF(MAX($E$4:E48)+1=0, "", MAX($E$4:E48)+1), "")</f>
        <v/>
      </c>
      <c r="F49" s="137"/>
      <c r="G49" s="137"/>
      <c r="H49" s="150"/>
      <c r="I49" s="150"/>
      <c r="J49" s="68" t="str">
        <f>IF(OpenPendingCases[[#This Row],[Timepiece Reference ]]="", "", IF(_xlfn.XLOOKUP(OpenPendingCases[[#This Row],[Timepiece Reference ]], Table1[[Timepiece Reference ]], Table1[CRC STOCK], "Not Found")="YES", "CRC Stock", "Boutique Stock"))</f>
        <v/>
      </c>
      <c r="K49" s="137" t="str">
        <f>IF(OpenPendingCases[[#This Row],[Timepiece Reference ]]="", "", IF(_xlfn.XLOOKUP(OpenPendingCases[[#This Row],[Timepiece Reference ]], Table1[[Timepiece Reference ]], Table1[CRC STOCK], "Not Found")="YES", "CRC Stock", "Boutique Stock"))</f>
        <v/>
      </c>
      <c r="L49" s="140"/>
      <c r="M49" s="141"/>
      <c r="N49" s="137"/>
      <c r="O49" s="134"/>
      <c r="P49" s="94" t="str">
        <f>IFERROR(VLOOKUP(TRIM(O49), Collection!$B$2:$D$1001, 2, FALSE), "")</f>
        <v/>
      </c>
      <c r="Q49" s="190" t="str">
        <f>IFERROR(VLOOKUP(TRIM(O49), Collection!$B$2:$D$1001, 3, FALSE), "")</f>
        <v/>
      </c>
      <c r="R49" s="153" t="str">
        <f t="shared" si="0"/>
        <v/>
      </c>
      <c r="S49" s="154"/>
      <c r="T49" s="166"/>
      <c r="U49" s="137"/>
      <c r="V49" s="137"/>
      <c r="W49" s="156" t="str">
        <f t="shared" si="1"/>
        <v/>
      </c>
      <c r="X49" s="157"/>
      <c r="Y49" s="158"/>
      <c r="Z49" s="158"/>
      <c r="AA49" s="137" t="str">
        <f t="shared" ca="1" si="6"/>
        <v/>
      </c>
      <c r="AB49" s="137" t="str">
        <f t="shared" ca="1" si="2"/>
        <v/>
      </c>
      <c r="AC49" s="160" t="str">
        <f t="shared" ca="1" si="3"/>
        <v/>
      </c>
      <c r="AD49" s="159" t="str">
        <f t="shared" ca="1" si="4"/>
        <v/>
      </c>
      <c r="AE49" s="161"/>
      <c r="AF49" s="161"/>
      <c r="AG49" s="161"/>
      <c r="AH49" s="137"/>
      <c r="AI49" s="164" t="str">
        <f t="shared" si="7"/>
        <v/>
      </c>
      <c r="AJ49" s="164" t="str">
        <f>IF(AND(OpenPendingCases[[#This Row],[Sale Status	]]="Open Sale",OpenPendingCases[[#This Row],[Potential Same Month]]="High"),TEXT(OpenPendingCases[[#This Row],[Request Entry Date]], "[$-en-us]mmmm"),"")</f>
        <v/>
      </c>
      <c r="AK49" s="165" t="str">
        <f>IFERROR(VALUE(SUBSTITUTE(OpenPendingCases[[#This Row],[Price]]," AED","")),"")</f>
        <v/>
      </c>
      <c r="AL49" s="165" t="str">
        <f>IFERROR(VALUE(LEFT(OpenPendingCases[[#This Row],[Price]],FIND(" ",OpenPendingCases[[#This Row],[Price]])-1)),"")</f>
        <v/>
      </c>
      <c r="AM49" s="165" t="str">
        <f>IFERROR(VALUE(_xlfn.TEXTBEFORE(OpenPendingCases[[#This Row],[Price]]," AED")),"")</f>
        <v/>
      </c>
      <c r="AN49" s="165"/>
    </row>
    <row r="50" spans="3:40" ht="18" hidden="1" x14ac:dyDescent="0.35">
      <c r="C50" s="148">
        <v>49</v>
      </c>
      <c r="D50" s="137" t="str">
        <f>IF($U50="Open Sale", IF(MAX($D$4:D49)+1=0, "", MAX($D$4:D49)+1), "")</f>
        <v/>
      </c>
      <c r="E50" s="137" t="str">
        <f>IF($U50="Pending Allocation", IF(MAX($E$4:E49)+1=0, "", MAX($E$4:E49)+1), "")</f>
        <v/>
      </c>
      <c r="F50" s="137"/>
      <c r="G50" s="137"/>
      <c r="H50" s="150"/>
      <c r="I50" s="150"/>
      <c r="J50" s="68" t="str">
        <f>IF(OpenPendingCases[[#This Row],[Timepiece Reference ]]="", "", IF(_xlfn.XLOOKUP(OpenPendingCases[[#This Row],[Timepiece Reference ]], Table1[[Timepiece Reference ]], Table1[CRC STOCK], "Not Found")="YES", "CRC Stock", "Boutique Stock"))</f>
        <v/>
      </c>
      <c r="K50" s="137" t="str">
        <f>IF(OpenPendingCases[[#This Row],[Timepiece Reference ]]="", "", IF(_xlfn.XLOOKUP(OpenPendingCases[[#This Row],[Timepiece Reference ]], Table1[[Timepiece Reference ]], Table1[CRC STOCK], "Not Found")="YES", "CRC Stock", "Boutique Stock"))</f>
        <v/>
      </c>
      <c r="L50" s="140"/>
      <c r="M50" s="141"/>
      <c r="N50" s="137"/>
      <c r="O50" s="134"/>
      <c r="P50" s="94" t="str">
        <f>IFERROR(VLOOKUP(TRIM(O50), Collection!$B$2:$D$1001, 2, FALSE), "")</f>
        <v/>
      </c>
      <c r="Q50" s="190" t="str">
        <f>IFERROR(VLOOKUP(TRIM(O50), Collection!$B$2:$D$1001, 3, FALSE), "")</f>
        <v/>
      </c>
      <c r="R50" s="153" t="str">
        <f t="shared" si="0"/>
        <v/>
      </c>
      <c r="S50" s="154"/>
      <c r="T50" s="166"/>
      <c r="U50" s="137"/>
      <c r="V50" s="137"/>
      <c r="W50" s="156" t="str">
        <f t="shared" si="1"/>
        <v/>
      </c>
      <c r="X50" s="157"/>
      <c r="Y50" s="158"/>
      <c r="Z50" s="158"/>
      <c r="AA50" s="137" t="str">
        <f t="shared" ca="1" si="6"/>
        <v/>
      </c>
      <c r="AB50" s="137" t="str">
        <f t="shared" ca="1" si="2"/>
        <v/>
      </c>
      <c r="AC50" s="160" t="str">
        <f t="shared" ca="1" si="3"/>
        <v/>
      </c>
      <c r="AD50" s="159" t="str">
        <f t="shared" ca="1" si="4"/>
        <v/>
      </c>
      <c r="AE50" s="161"/>
      <c r="AF50" s="161"/>
      <c r="AG50" s="161"/>
      <c r="AH50" s="137"/>
      <c r="AI50" s="164" t="str">
        <f t="shared" si="7"/>
        <v/>
      </c>
      <c r="AJ50" s="164" t="str">
        <f>IF(AND(OpenPendingCases[[#This Row],[Sale Status	]]="Open Sale",OpenPendingCases[[#This Row],[Potential Same Month]]="High"),TEXT(OpenPendingCases[[#This Row],[Request Entry Date]], "[$-en-us]mmmm"),"")</f>
        <v/>
      </c>
      <c r="AK50" s="165" t="str">
        <f>IFERROR(VALUE(SUBSTITUTE(OpenPendingCases[[#This Row],[Price]]," AED","")),"")</f>
        <v/>
      </c>
      <c r="AL50" s="165" t="str">
        <f>IFERROR(VALUE(LEFT(OpenPendingCases[[#This Row],[Price]],FIND(" ",OpenPendingCases[[#This Row],[Price]])-1)),"")</f>
        <v/>
      </c>
      <c r="AM50" s="165" t="str">
        <f>IFERROR(VALUE(_xlfn.TEXTBEFORE(OpenPendingCases[[#This Row],[Price]]," AED")),"")</f>
        <v/>
      </c>
      <c r="AN50" s="165"/>
    </row>
    <row r="51" spans="3:40" ht="18" hidden="1" x14ac:dyDescent="0.35">
      <c r="C51" s="148">
        <v>50</v>
      </c>
      <c r="D51" s="137" t="str">
        <f>IF($U51="Open Sale", IF(MAX($D$4:D50)+1=0, "", MAX($D$4:D50)+1), "")</f>
        <v/>
      </c>
      <c r="E51" s="137" t="str">
        <f>IF($U51="Pending Allocation", IF(MAX($E$4:E50)+1=0, "", MAX($E$4:E50)+1), "")</f>
        <v/>
      </c>
      <c r="F51" s="137"/>
      <c r="G51" s="137"/>
      <c r="H51" s="150"/>
      <c r="I51" s="150"/>
      <c r="J51" s="68" t="str">
        <f>IF(OpenPendingCases[[#This Row],[Timepiece Reference ]]="", "", IF(_xlfn.XLOOKUP(OpenPendingCases[[#This Row],[Timepiece Reference ]], Table1[[Timepiece Reference ]], Table1[CRC STOCK], "Not Found")="YES", "CRC Stock", "Boutique Stock"))</f>
        <v/>
      </c>
      <c r="K51" s="137" t="str">
        <f>IF(OpenPendingCases[[#This Row],[Timepiece Reference ]]="", "", IF(_xlfn.XLOOKUP(OpenPendingCases[[#This Row],[Timepiece Reference ]], Table1[[Timepiece Reference ]], Table1[CRC STOCK], "Not Found")="YES", "CRC Stock", "Boutique Stock"))</f>
        <v/>
      </c>
      <c r="L51" s="140"/>
      <c r="M51" s="141"/>
      <c r="N51" s="137"/>
      <c r="O51" s="134"/>
      <c r="P51" s="94" t="str">
        <f>IFERROR(VLOOKUP(TRIM(O51), Collection!$B$2:$D$1001, 2, FALSE), "")</f>
        <v/>
      </c>
      <c r="Q51" s="190" t="str">
        <f>IFERROR(VLOOKUP(TRIM(O51), Collection!$B$2:$D$1001, 3, FALSE), "")</f>
        <v/>
      </c>
      <c r="R51" s="153" t="str">
        <f t="shared" si="0"/>
        <v/>
      </c>
      <c r="S51" s="154"/>
      <c r="T51" s="166"/>
      <c r="U51" s="137"/>
      <c r="V51" s="137"/>
      <c r="W51" s="156" t="str">
        <f t="shared" si="1"/>
        <v/>
      </c>
      <c r="X51" s="157"/>
      <c r="Y51" s="158"/>
      <c r="Z51" s="158"/>
      <c r="AA51" s="137" t="str">
        <f t="shared" ca="1" si="6"/>
        <v/>
      </c>
      <c r="AB51" s="137" t="str">
        <f t="shared" ca="1" si="2"/>
        <v/>
      </c>
      <c r="AC51" s="160" t="str">
        <f t="shared" ca="1" si="3"/>
        <v/>
      </c>
      <c r="AD51" s="159" t="str">
        <f t="shared" ca="1" si="4"/>
        <v/>
      </c>
      <c r="AE51" s="161"/>
      <c r="AF51" s="161"/>
      <c r="AG51" s="161"/>
      <c r="AH51" s="137"/>
      <c r="AI51" s="164" t="str">
        <f t="shared" si="7"/>
        <v/>
      </c>
      <c r="AJ51" s="164" t="str">
        <f>IF(AND(OpenPendingCases[[#This Row],[Sale Status	]]="Open Sale",OpenPendingCases[[#This Row],[Potential Same Month]]="High"),TEXT(OpenPendingCases[[#This Row],[Request Entry Date]], "[$-en-us]mmmm"),"")</f>
        <v/>
      </c>
      <c r="AK51" s="165" t="str">
        <f>IFERROR(VALUE(SUBSTITUTE(OpenPendingCases[[#This Row],[Price]]," AED","")),"")</f>
        <v/>
      </c>
      <c r="AL51" s="165" t="str">
        <f>IFERROR(VALUE(LEFT(OpenPendingCases[[#This Row],[Price]],FIND(" ",OpenPendingCases[[#This Row],[Price]])-1)),"")</f>
        <v/>
      </c>
      <c r="AM51" s="165" t="str">
        <f>IFERROR(VALUE(_xlfn.TEXTBEFORE(OpenPendingCases[[#This Row],[Price]]," AED")),"")</f>
        <v/>
      </c>
      <c r="AN51" s="165"/>
    </row>
    <row r="52" spans="3:40" ht="18" hidden="1" x14ac:dyDescent="0.35">
      <c r="C52" s="148">
        <v>51</v>
      </c>
      <c r="D52" s="137" t="str">
        <f>IF($U52="Open Sale", IF(MAX($D$4:D51)+1=0, "", MAX($D$4:D51)+1), "")</f>
        <v/>
      </c>
      <c r="E52" s="137" t="str">
        <f>IF($U52="Pending Allocation", IF(MAX($E$4:E51)+1=0, "", MAX($E$4:E51)+1), "")</f>
        <v/>
      </c>
      <c r="F52" s="137"/>
      <c r="G52" s="137"/>
      <c r="H52" s="150"/>
      <c r="I52" s="150"/>
      <c r="J52" s="68" t="str">
        <f>IF(OpenPendingCases[[#This Row],[Timepiece Reference ]]="", "", IF(_xlfn.XLOOKUP(OpenPendingCases[[#This Row],[Timepiece Reference ]], Table1[[Timepiece Reference ]], Table1[CRC STOCK], "Not Found")="YES", "CRC Stock", "Boutique Stock"))</f>
        <v/>
      </c>
      <c r="K52" s="137" t="str">
        <f>IF(OpenPendingCases[[#This Row],[Timepiece Reference ]]="", "", IF(_xlfn.XLOOKUP(OpenPendingCases[[#This Row],[Timepiece Reference ]], Table1[[Timepiece Reference ]], Table1[CRC STOCK], "Not Found")="YES", "CRC Stock", "Boutique Stock"))</f>
        <v/>
      </c>
      <c r="L52" s="140"/>
      <c r="M52" s="141"/>
      <c r="N52" s="137"/>
      <c r="O52" s="134"/>
      <c r="P52" s="94" t="str">
        <f>IFERROR(VLOOKUP(TRIM(O52), Collection!$B$2:$D$1001, 2, FALSE), "")</f>
        <v/>
      </c>
      <c r="Q52" s="190" t="str">
        <f>IFERROR(VLOOKUP(TRIM(O52), Collection!$B$2:$D$1001, 3, FALSE), "")</f>
        <v/>
      </c>
      <c r="R52" s="153" t="str">
        <f t="shared" si="0"/>
        <v/>
      </c>
      <c r="S52" s="154"/>
      <c r="T52" s="166"/>
      <c r="U52" s="137"/>
      <c r="V52" s="137"/>
      <c r="W52" s="156" t="str">
        <f t="shared" si="1"/>
        <v/>
      </c>
      <c r="X52" s="157"/>
      <c r="Y52" s="158"/>
      <c r="Z52" s="158"/>
      <c r="AA52" s="137" t="str">
        <f t="shared" ca="1" si="6"/>
        <v/>
      </c>
      <c r="AB52" s="137" t="str">
        <f t="shared" ca="1" si="2"/>
        <v/>
      </c>
      <c r="AC52" s="160" t="str">
        <f t="shared" ca="1" si="3"/>
        <v/>
      </c>
      <c r="AD52" s="159" t="str">
        <f t="shared" ca="1" si="4"/>
        <v/>
      </c>
      <c r="AE52" s="161"/>
      <c r="AF52" s="161"/>
      <c r="AG52" s="161"/>
      <c r="AH52" s="137"/>
      <c r="AI52" s="164" t="str">
        <f t="shared" si="7"/>
        <v/>
      </c>
      <c r="AJ52" s="164" t="str">
        <f>IF(AND(OpenPendingCases[[#This Row],[Sale Status	]]="Open Sale",OpenPendingCases[[#This Row],[Potential Same Month]]="High"),TEXT(OpenPendingCases[[#This Row],[Request Entry Date]], "[$-en-us]mmmm"),"")</f>
        <v/>
      </c>
      <c r="AK52" s="165" t="str">
        <f>IFERROR(VALUE(SUBSTITUTE(OpenPendingCases[[#This Row],[Price]]," AED","")),"")</f>
        <v/>
      </c>
      <c r="AL52" s="165" t="str">
        <f>IFERROR(VALUE(LEFT(OpenPendingCases[[#This Row],[Price]],FIND(" ",OpenPendingCases[[#This Row],[Price]])-1)),"")</f>
        <v/>
      </c>
      <c r="AM52" s="165" t="str">
        <f>IFERROR(VALUE(_xlfn.TEXTBEFORE(OpenPendingCases[[#This Row],[Price]]," AED")),"")</f>
        <v/>
      </c>
      <c r="AN52" s="165"/>
    </row>
    <row r="53" spans="3:40" ht="18" hidden="1" x14ac:dyDescent="0.35">
      <c r="C53" s="148">
        <v>52</v>
      </c>
      <c r="D53" s="137" t="str">
        <f>IF($U53="Open Sale", IF(MAX($D$4:D52)+1=0, "", MAX($D$4:D52)+1), "")</f>
        <v/>
      </c>
      <c r="E53" s="137" t="str">
        <f>IF($U53="Pending Allocation", IF(MAX($E$4:E52)+1=0, "", MAX($E$4:E52)+1), "")</f>
        <v/>
      </c>
      <c r="F53" s="137"/>
      <c r="G53" s="137"/>
      <c r="H53" s="150"/>
      <c r="I53" s="150"/>
      <c r="J53" s="68" t="str">
        <f>IF(OpenPendingCases[[#This Row],[Timepiece Reference ]]="", "", IF(_xlfn.XLOOKUP(OpenPendingCases[[#This Row],[Timepiece Reference ]], Table1[[Timepiece Reference ]], Table1[CRC STOCK], "Not Found")="YES", "CRC Stock", "Boutique Stock"))</f>
        <v/>
      </c>
      <c r="K53" s="137" t="str">
        <f>IF(OpenPendingCases[[#This Row],[Timepiece Reference ]]="", "", IF(_xlfn.XLOOKUP(OpenPendingCases[[#This Row],[Timepiece Reference ]], Table1[[Timepiece Reference ]], Table1[CRC STOCK], "Not Found")="YES", "CRC Stock", "Boutique Stock"))</f>
        <v/>
      </c>
      <c r="L53" s="140"/>
      <c r="M53" s="144"/>
      <c r="N53" s="137"/>
      <c r="O53" s="134"/>
      <c r="P53" s="94" t="str">
        <f>IFERROR(VLOOKUP(TRIM(O53), Collection!$B$2:$D$1001, 2, FALSE), "")</f>
        <v/>
      </c>
      <c r="Q53" s="190" t="str">
        <f>IFERROR(VLOOKUP(TRIM(O53), Collection!$B$2:$D$1001, 3, FALSE), "")</f>
        <v/>
      </c>
      <c r="R53" s="153" t="str">
        <f t="shared" si="0"/>
        <v/>
      </c>
      <c r="S53" s="154"/>
      <c r="T53" s="166"/>
      <c r="U53" s="137"/>
      <c r="V53" s="137"/>
      <c r="W53" s="156" t="str">
        <f t="shared" si="1"/>
        <v/>
      </c>
      <c r="X53" s="157"/>
      <c r="Y53" s="158"/>
      <c r="Z53" s="158"/>
      <c r="AA53" s="137" t="str">
        <f t="shared" ca="1" si="6"/>
        <v/>
      </c>
      <c r="AB53" s="137" t="str">
        <f t="shared" ca="1" si="2"/>
        <v/>
      </c>
      <c r="AC53" s="160" t="str">
        <f t="shared" ca="1" si="3"/>
        <v/>
      </c>
      <c r="AD53" s="159" t="str">
        <f t="shared" ca="1" si="4"/>
        <v/>
      </c>
      <c r="AE53" s="161"/>
      <c r="AF53" s="161"/>
      <c r="AG53" s="161"/>
      <c r="AH53" s="137"/>
      <c r="AI53" s="164" t="str">
        <f t="shared" si="7"/>
        <v/>
      </c>
      <c r="AJ53" s="164" t="str">
        <f>IF(AND(OpenPendingCases[[#This Row],[Sale Status	]]="Open Sale",OpenPendingCases[[#This Row],[Potential Same Month]]="High"),TEXT(OpenPendingCases[[#This Row],[Request Entry Date]], "[$-en-us]mmmm"),"")</f>
        <v/>
      </c>
      <c r="AK53" s="165" t="str">
        <f>IFERROR(VALUE(SUBSTITUTE(OpenPendingCases[[#This Row],[Price]]," AED","")),"")</f>
        <v/>
      </c>
      <c r="AL53" s="165" t="str">
        <f>IFERROR(VALUE(LEFT(OpenPendingCases[[#This Row],[Price]],FIND(" ",OpenPendingCases[[#This Row],[Price]])-1)),"")</f>
        <v/>
      </c>
      <c r="AM53" s="165" t="str">
        <f>IFERROR(VALUE(_xlfn.TEXTBEFORE(OpenPendingCases[[#This Row],[Price]]," AED")),"")</f>
        <v/>
      </c>
      <c r="AN53" s="165"/>
    </row>
    <row r="54" spans="3:40" ht="18" hidden="1" x14ac:dyDescent="0.35">
      <c r="C54" s="148">
        <v>53</v>
      </c>
      <c r="D54" s="137" t="str">
        <f>IF($U54="Open Sale", IF(MAX($D$4:D53)+1=0, "", MAX($D$4:D53)+1), "")</f>
        <v/>
      </c>
      <c r="E54" s="137" t="str">
        <f>IF($U54="Pending Allocation", IF(MAX($E$4:E53)+1=0, "", MAX($E$4:E53)+1), "")</f>
        <v/>
      </c>
      <c r="F54" s="137"/>
      <c r="G54" s="137"/>
      <c r="H54" s="150"/>
      <c r="I54" s="150"/>
      <c r="J54" s="68" t="str">
        <f>IF(OpenPendingCases[[#This Row],[Timepiece Reference ]]="", "", IF(_xlfn.XLOOKUP(OpenPendingCases[[#This Row],[Timepiece Reference ]], Table1[[Timepiece Reference ]], Table1[CRC STOCK], "Not Found")="YES", "CRC Stock", "Boutique Stock"))</f>
        <v/>
      </c>
      <c r="K54" s="137" t="str">
        <f>IF(OpenPendingCases[[#This Row],[Timepiece Reference ]]="", "", IF(_xlfn.XLOOKUP(OpenPendingCases[[#This Row],[Timepiece Reference ]], Table1[[Timepiece Reference ]], Table1[CRC STOCK], "Not Found")="YES", "CRC Stock", "Boutique Stock"))</f>
        <v/>
      </c>
      <c r="L54" s="140"/>
      <c r="M54" s="141"/>
      <c r="N54" s="137"/>
      <c r="O54" s="134"/>
      <c r="P54" s="94" t="str">
        <f>IFERROR(VLOOKUP(TRIM(O54), Collection!$B$2:$D$1001, 2, FALSE), "")</f>
        <v/>
      </c>
      <c r="Q54" s="190" t="str">
        <f>IFERROR(VLOOKUP(TRIM(O54), Collection!$B$2:$D$1001, 3, FALSE), "")</f>
        <v/>
      </c>
      <c r="R54" s="153" t="str">
        <f t="shared" si="0"/>
        <v/>
      </c>
      <c r="S54" s="154"/>
      <c r="T54" s="166"/>
      <c r="U54" s="137"/>
      <c r="V54" s="137"/>
      <c r="W54" s="156" t="str">
        <f t="shared" si="1"/>
        <v/>
      </c>
      <c r="X54" s="157"/>
      <c r="Y54" s="158"/>
      <c r="Z54" s="158"/>
      <c r="AA54" s="137" t="str">
        <f t="shared" ca="1" si="6"/>
        <v/>
      </c>
      <c r="AB54" s="137" t="str">
        <f t="shared" ca="1" si="2"/>
        <v/>
      </c>
      <c r="AC54" s="160" t="str">
        <f t="shared" ca="1" si="3"/>
        <v/>
      </c>
      <c r="AD54" s="159" t="str">
        <f t="shared" ca="1" si="4"/>
        <v/>
      </c>
      <c r="AE54" s="161"/>
      <c r="AF54" s="161"/>
      <c r="AG54" s="161"/>
      <c r="AH54" s="137"/>
      <c r="AI54" s="164" t="str">
        <f t="shared" si="7"/>
        <v/>
      </c>
      <c r="AJ54" s="164" t="str">
        <f>IF(AND(OpenPendingCases[[#This Row],[Sale Status	]]="Open Sale",OpenPendingCases[[#This Row],[Potential Same Month]]="High"),TEXT(OpenPendingCases[[#This Row],[Request Entry Date]], "[$-en-us]mmmm"),"")</f>
        <v/>
      </c>
      <c r="AK54" s="165" t="str">
        <f>IFERROR(VALUE(SUBSTITUTE(OpenPendingCases[[#This Row],[Price]]," AED","")),"")</f>
        <v/>
      </c>
      <c r="AL54" s="165" t="str">
        <f>IFERROR(VALUE(LEFT(OpenPendingCases[[#This Row],[Price]],FIND(" ",OpenPendingCases[[#This Row],[Price]])-1)),"")</f>
        <v/>
      </c>
      <c r="AM54" s="165" t="str">
        <f>IFERROR(VALUE(_xlfn.TEXTBEFORE(OpenPendingCases[[#This Row],[Price]]," AED")),"")</f>
        <v/>
      </c>
      <c r="AN54" s="165"/>
    </row>
    <row r="55" spans="3:40" ht="18" hidden="1" x14ac:dyDescent="0.35">
      <c r="C55" s="148">
        <v>54</v>
      </c>
      <c r="D55" s="137" t="str">
        <f>IF($U55="Open Sale", IF(MAX($D$4:D54)+1=0, "", MAX($D$4:D54)+1), "")</f>
        <v/>
      </c>
      <c r="E55" s="137" t="str">
        <f>IF($U55="Pending Allocation", IF(MAX($E$4:E54)+1=0, "", MAX($E$4:E54)+1), "")</f>
        <v/>
      </c>
      <c r="F55" s="137"/>
      <c r="G55" s="137"/>
      <c r="H55" s="150"/>
      <c r="I55" s="150"/>
      <c r="J55" s="68" t="str">
        <f>IF(OpenPendingCases[[#This Row],[Timepiece Reference ]]="", "", IF(_xlfn.XLOOKUP(OpenPendingCases[[#This Row],[Timepiece Reference ]], Table1[[Timepiece Reference ]], Table1[CRC STOCK], "Not Found")="YES", "CRC Stock", "Boutique Stock"))</f>
        <v/>
      </c>
      <c r="K55" s="137" t="str">
        <f>IF(OpenPendingCases[[#This Row],[Timepiece Reference ]]="", "", IF(_xlfn.XLOOKUP(OpenPendingCases[[#This Row],[Timepiece Reference ]], Table1[[Timepiece Reference ]], Table1[CRC STOCK], "Not Found")="YES", "CRC Stock", "Boutique Stock"))</f>
        <v/>
      </c>
      <c r="L55" s="140"/>
      <c r="M55" s="141"/>
      <c r="N55" s="137"/>
      <c r="O55" s="134"/>
      <c r="P55" s="94" t="str">
        <f>IFERROR(VLOOKUP(TRIM(O55), Collection!$B$2:$D$1001, 2, FALSE), "")</f>
        <v/>
      </c>
      <c r="Q55" s="190" t="str">
        <f>IFERROR(VLOOKUP(TRIM(O55), Collection!$B$2:$D$1001, 3, FALSE), "")</f>
        <v/>
      </c>
      <c r="R55" s="153" t="str">
        <f t="shared" si="0"/>
        <v/>
      </c>
      <c r="S55" s="154"/>
      <c r="T55" s="166"/>
      <c r="U55" s="137"/>
      <c r="V55" s="137"/>
      <c r="W55" s="156" t="str">
        <f t="shared" si="1"/>
        <v/>
      </c>
      <c r="X55" s="157"/>
      <c r="Y55" s="158"/>
      <c r="Z55" s="158"/>
      <c r="AA55" s="137" t="str">
        <f t="shared" ca="1" si="6"/>
        <v/>
      </c>
      <c r="AB55" s="137" t="str">
        <f t="shared" ca="1" si="2"/>
        <v/>
      </c>
      <c r="AC55" s="160" t="str">
        <f t="shared" ca="1" si="3"/>
        <v/>
      </c>
      <c r="AD55" s="159" t="str">
        <f t="shared" ca="1" si="4"/>
        <v/>
      </c>
      <c r="AE55" s="161"/>
      <c r="AF55" s="161"/>
      <c r="AG55" s="161"/>
      <c r="AH55" s="137"/>
      <c r="AI55" s="164" t="str">
        <f t="shared" si="7"/>
        <v/>
      </c>
      <c r="AJ55" s="164" t="str">
        <f>IF(AND(OpenPendingCases[[#This Row],[Sale Status	]]="Open Sale",OpenPendingCases[[#This Row],[Potential Same Month]]="High"),TEXT(OpenPendingCases[[#This Row],[Request Entry Date]], "[$-en-us]mmmm"),"")</f>
        <v/>
      </c>
      <c r="AK55" s="165" t="str">
        <f>IFERROR(VALUE(SUBSTITUTE(OpenPendingCases[[#This Row],[Price]]," AED","")),"")</f>
        <v/>
      </c>
      <c r="AL55" s="165" t="str">
        <f>IFERROR(VALUE(LEFT(OpenPendingCases[[#This Row],[Price]],FIND(" ",OpenPendingCases[[#This Row],[Price]])-1)),"")</f>
        <v/>
      </c>
      <c r="AM55" s="165" t="str">
        <f>IFERROR(VALUE(_xlfn.TEXTBEFORE(OpenPendingCases[[#This Row],[Price]]," AED")),"")</f>
        <v/>
      </c>
      <c r="AN55" s="165"/>
    </row>
    <row r="56" spans="3:40" ht="18" hidden="1" x14ac:dyDescent="0.35">
      <c r="C56" s="148">
        <v>55</v>
      </c>
      <c r="D56" s="137" t="str">
        <f>IF($U56="Open Sale", IF(MAX($D$4:D55)+1=0, "", MAX($D$4:D55)+1), "")</f>
        <v/>
      </c>
      <c r="E56" s="137" t="str">
        <f>IF($U56="Pending Allocation", IF(MAX($E$4:E55)+1=0, "", MAX($E$4:E55)+1), "")</f>
        <v/>
      </c>
      <c r="F56" s="137"/>
      <c r="G56" s="137"/>
      <c r="H56" s="150"/>
      <c r="I56" s="150"/>
      <c r="J56" s="68" t="str">
        <f>IF(OpenPendingCases[[#This Row],[Timepiece Reference ]]="", "", IF(_xlfn.XLOOKUP(OpenPendingCases[[#This Row],[Timepiece Reference ]], Table1[[Timepiece Reference ]], Table1[CRC STOCK], "Not Found")="YES", "CRC Stock", "Boutique Stock"))</f>
        <v/>
      </c>
      <c r="K56" s="137" t="str">
        <f>IF(OpenPendingCases[[#This Row],[Timepiece Reference ]]="", "", IF(_xlfn.XLOOKUP(OpenPendingCases[[#This Row],[Timepiece Reference ]], Table1[[Timepiece Reference ]], Table1[CRC STOCK], "Not Found")="YES", "CRC Stock", "Boutique Stock"))</f>
        <v/>
      </c>
      <c r="L56" s="140"/>
      <c r="M56" s="141"/>
      <c r="N56" s="137"/>
      <c r="O56" s="134"/>
      <c r="P56" s="94" t="str">
        <f>IFERROR(VLOOKUP(TRIM(O56), Collection!$B$2:$D$1001, 2, FALSE), "")</f>
        <v/>
      </c>
      <c r="Q56" s="190" t="str">
        <f>IFERROR(VLOOKUP(TRIM(O56), Collection!$B$2:$D$1001, 3, FALSE), "")</f>
        <v/>
      </c>
      <c r="R56" s="153" t="str">
        <f t="shared" si="0"/>
        <v/>
      </c>
      <c r="S56" s="154"/>
      <c r="T56" s="166"/>
      <c r="U56" s="137"/>
      <c r="V56" s="137"/>
      <c r="W56" s="156" t="str">
        <f t="shared" si="1"/>
        <v/>
      </c>
      <c r="X56" s="157"/>
      <c r="Y56" s="158"/>
      <c r="Z56" s="158"/>
      <c r="AA56" s="137" t="str">
        <f t="shared" ca="1" si="6"/>
        <v/>
      </c>
      <c r="AB56" s="137" t="str">
        <f t="shared" ca="1" si="2"/>
        <v/>
      </c>
      <c r="AC56" s="160" t="str">
        <f t="shared" ca="1" si="3"/>
        <v/>
      </c>
      <c r="AD56" s="159" t="str">
        <f t="shared" ca="1" si="4"/>
        <v/>
      </c>
      <c r="AE56" s="161"/>
      <c r="AF56" s="161"/>
      <c r="AG56" s="161"/>
      <c r="AH56" s="137"/>
      <c r="AI56" s="164" t="str">
        <f t="shared" si="7"/>
        <v/>
      </c>
      <c r="AJ56" s="164" t="str">
        <f>IF(AND(OpenPendingCases[[#This Row],[Sale Status	]]="Open Sale",OpenPendingCases[[#This Row],[Potential Same Month]]="High"),TEXT(OpenPendingCases[[#This Row],[Request Entry Date]], "[$-en-us]mmmm"),"")</f>
        <v/>
      </c>
      <c r="AK56" s="165" t="str">
        <f>IFERROR(VALUE(SUBSTITUTE(OpenPendingCases[[#This Row],[Price]]," AED","")),"")</f>
        <v/>
      </c>
      <c r="AL56" s="165" t="str">
        <f>IFERROR(VALUE(LEFT(OpenPendingCases[[#This Row],[Price]],FIND(" ",OpenPendingCases[[#This Row],[Price]])-1)),"")</f>
        <v/>
      </c>
      <c r="AM56" s="165" t="str">
        <f>IFERROR(VALUE(_xlfn.TEXTBEFORE(OpenPendingCases[[#This Row],[Price]]," AED")),"")</f>
        <v/>
      </c>
      <c r="AN56" s="165"/>
    </row>
    <row r="57" spans="3:40" ht="18" hidden="1" x14ac:dyDescent="0.35">
      <c r="C57" s="148">
        <v>56</v>
      </c>
      <c r="D57" s="137" t="str">
        <f>IF($U57="Open Sale", IF(MAX($D$4:D56)+1=0, "", MAX($D$4:D56)+1), "")</f>
        <v/>
      </c>
      <c r="E57" s="137" t="str">
        <f>IF($U57="Pending Allocation", IF(MAX($E$4:E56)+1=0, "", MAX($E$4:E56)+1), "")</f>
        <v/>
      </c>
      <c r="F57" s="137"/>
      <c r="G57" s="137"/>
      <c r="H57" s="150"/>
      <c r="I57" s="150"/>
      <c r="J57" s="68" t="str">
        <f>IF(OpenPendingCases[[#This Row],[Timepiece Reference ]]="", "", IF(_xlfn.XLOOKUP(OpenPendingCases[[#This Row],[Timepiece Reference ]], Table1[[Timepiece Reference ]], Table1[CRC STOCK], "Not Found")="YES", "CRC Stock", "Boutique Stock"))</f>
        <v/>
      </c>
      <c r="K57" s="137" t="str">
        <f>IF(OpenPendingCases[[#This Row],[Timepiece Reference ]]="", "", IF(_xlfn.XLOOKUP(OpenPendingCases[[#This Row],[Timepiece Reference ]], Table1[[Timepiece Reference ]], Table1[CRC STOCK], "Not Found")="YES", "CRC Stock", "Boutique Stock"))</f>
        <v/>
      </c>
      <c r="L57" s="140"/>
      <c r="M57" s="141"/>
      <c r="N57" s="137"/>
      <c r="O57" s="134"/>
      <c r="P57" s="94" t="str">
        <f>IFERROR(VLOOKUP(TRIM(O57), Collection!$B$2:$D$1001, 2, FALSE), "")</f>
        <v/>
      </c>
      <c r="Q57" s="190" t="str">
        <f>IFERROR(VLOOKUP(TRIM(O57), Collection!$B$2:$D$1001, 3, FALSE), "")</f>
        <v/>
      </c>
      <c r="R57" s="153" t="str">
        <f t="shared" si="0"/>
        <v/>
      </c>
      <c r="S57" s="154"/>
      <c r="T57" s="166"/>
      <c r="U57" s="137"/>
      <c r="V57" s="137"/>
      <c r="W57" s="156" t="str">
        <f t="shared" si="1"/>
        <v/>
      </c>
      <c r="X57" s="157"/>
      <c r="Y57" s="158"/>
      <c r="Z57" s="158"/>
      <c r="AA57" s="137" t="str">
        <f t="shared" ca="1" si="6"/>
        <v/>
      </c>
      <c r="AB57" s="137" t="str">
        <f t="shared" ca="1" si="2"/>
        <v/>
      </c>
      <c r="AC57" s="160" t="str">
        <f t="shared" ca="1" si="3"/>
        <v/>
      </c>
      <c r="AD57" s="159" t="str">
        <f t="shared" ca="1" si="4"/>
        <v/>
      </c>
      <c r="AE57" s="161"/>
      <c r="AF57" s="161"/>
      <c r="AG57" s="161"/>
      <c r="AH57" s="137"/>
      <c r="AI57" s="164" t="str">
        <f t="shared" si="7"/>
        <v/>
      </c>
      <c r="AJ57" s="164" t="str">
        <f>IF(AND(OpenPendingCases[[#This Row],[Sale Status	]]="Open Sale",OpenPendingCases[[#This Row],[Potential Same Month]]="High"),TEXT(OpenPendingCases[[#This Row],[Request Entry Date]], "[$-en-us]mmmm"),"")</f>
        <v/>
      </c>
      <c r="AK57" s="165" t="str">
        <f>IFERROR(VALUE(SUBSTITUTE(OpenPendingCases[[#This Row],[Price]]," AED","")),"")</f>
        <v/>
      </c>
      <c r="AL57" s="165" t="str">
        <f>IFERROR(VALUE(LEFT(OpenPendingCases[[#This Row],[Price]],FIND(" ",OpenPendingCases[[#This Row],[Price]])-1)),"")</f>
        <v/>
      </c>
      <c r="AM57" s="165" t="str">
        <f>IFERROR(VALUE(_xlfn.TEXTBEFORE(OpenPendingCases[[#This Row],[Price]]," AED")),"")</f>
        <v/>
      </c>
      <c r="AN57" s="165"/>
    </row>
    <row r="58" spans="3:40" ht="18" hidden="1" x14ac:dyDescent="0.35">
      <c r="C58" s="148">
        <v>57</v>
      </c>
      <c r="D58" s="137" t="str">
        <f>IF($U58="Open Sale", IF(MAX($D$4:D57)+1=0, "", MAX($D$4:D57)+1), "")</f>
        <v/>
      </c>
      <c r="E58" s="137" t="str">
        <f>IF($U58="Pending Allocation", IF(MAX($E$4:E57)+1=0, "", MAX($E$4:E57)+1), "")</f>
        <v/>
      </c>
      <c r="F58" s="137"/>
      <c r="G58" s="137"/>
      <c r="H58" s="150"/>
      <c r="I58" s="150"/>
      <c r="J58" s="68" t="str">
        <f>IF(OpenPendingCases[[#This Row],[Timepiece Reference ]]="", "", IF(_xlfn.XLOOKUP(OpenPendingCases[[#This Row],[Timepiece Reference ]], Table1[[Timepiece Reference ]], Table1[CRC STOCK], "Not Found")="YES", "CRC Stock", "Boutique Stock"))</f>
        <v/>
      </c>
      <c r="K58" s="137" t="str">
        <f>IF(OpenPendingCases[[#This Row],[Timepiece Reference ]]="", "", IF(_xlfn.XLOOKUP(OpenPendingCases[[#This Row],[Timepiece Reference ]], Table1[[Timepiece Reference ]], Table1[CRC STOCK], "Not Found")="YES", "CRC Stock", "Boutique Stock"))</f>
        <v/>
      </c>
      <c r="L58" s="140"/>
      <c r="M58" s="141"/>
      <c r="N58" s="137"/>
      <c r="O58" s="134"/>
      <c r="P58" s="94" t="str">
        <f>IFERROR(VLOOKUP(TRIM(O58), Collection!$B$2:$D$1001, 2, FALSE), "")</f>
        <v/>
      </c>
      <c r="Q58" s="190" t="str">
        <f>IFERROR(VLOOKUP(TRIM(O58), Collection!$B$2:$D$1001, 3, FALSE), "")</f>
        <v/>
      </c>
      <c r="R58" s="153" t="str">
        <f t="shared" si="0"/>
        <v/>
      </c>
      <c r="S58" s="154"/>
      <c r="T58" s="166"/>
      <c r="U58" s="137"/>
      <c r="V58" s="137"/>
      <c r="W58" s="156" t="str">
        <f t="shared" si="1"/>
        <v/>
      </c>
      <c r="X58" s="157"/>
      <c r="Y58" s="158"/>
      <c r="Z58" s="158"/>
      <c r="AA58" s="137" t="str">
        <f t="shared" ca="1" si="6"/>
        <v/>
      </c>
      <c r="AB58" s="137" t="str">
        <f t="shared" ca="1" si="2"/>
        <v/>
      </c>
      <c r="AC58" s="160" t="str">
        <f t="shared" ca="1" si="3"/>
        <v/>
      </c>
      <c r="AD58" s="159" t="str">
        <f t="shared" ca="1" si="4"/>
        <v/>
      </c>
      <c r="AE58" s="161"/>
      <c r="AF58" s="161"/>
      <c r="AG58" s="161"/>
      <c r="AH58" s="137"/>
      <c r="AI58" s="164" t="str">
        <f t="shared" si="7"/>
        <v/>
      </c>
      <c r="AJ58" s="164" t="str">
        <f>IF(AND(OpenPendingCases[[#This Row],[Sale Status	]]="Open Sale",OpenPendingCases[[#This Row],[Potential Same Month]]="High"),TEXT(OpenPendingCases[[#This Row],[Request Entry Date]], "[$-en-us]mmmm"),"")</f>
        <v/>
      </c>
      <c r="AK58" s="165" t="str">
        <f>IFERROR(VALUE(SUBSTITUTE(OpenPendingCases[[#This Row],[Price]]," AED","")),"")</f>
        <v/>
      </c>
      <c r="AL58" s="165" t="str">
        <f>IFERROR(VALUE(LEFT(OpenPendingCases[[#This Row],[Price]],FIND(" ",OpenPendingCases[[#This Row],[Price]])-1)),"")</f>
        <v/>
      </c>
      <c r="AM58" s="165" t="str">
        <f>IFERROR(VALUE(_xlfn.TEXTBEFORE(OpenPendingCases[[#This Row],[Price]]," AED")),"")</f>
        <v/>
      </c>
      <c r="AN58" s="165"/>
    </row>
    <row r="59" spans="3:40" ht="18" hidden="1" x14ac:dyDescent="0.35">
      <c r="C59" s="148">
        <v>58</v>
      </c>
      <c r="D59" s="137" t="str">
        <f>IF($U59="Open Sale", IF(MAX($D$4:D58)+1=0, "", MAX($D$4:D58)+1), "")</f>
        <v/>
      </c>
      <c r="E59" s="137" t="str">
        <f>IF($U59="Pending Allocation", IF(MAX($E$4:E58)+1=0, "", MAX($E$4:E58)+1), "")</f>
        <v/>
      </c>
      <c r="F59" s="137"/>
      <c r="G59" s="137"/>
      <c r="H59" s="150"/>
      <c r="I59" s="150"/>
      <c r="J59" s="68" t="str">
        <f>IF(OpenPendingCases[[#This Row],[Timepiece Reference ]]="", "", IF(_xlfn.XLOOKUP(OpenPendingCases[[#This Row],[Timepiece Reference ]], Table1[[Timepiece Reference ]], Table1[CRC STOCK], "Not Found")="YES", "CRC Stock", "Boutique Stock"))</f>
        <v/>
      </c>
      <c r="K59" s="137" t="str">
        <f>IF(OpenPendingCases[[#This Row],[Timepiece Reference ]]="", "", IF(_xlfn.XLOOKUP(OpenPendingCases[[#This Row],[Timepiece Reference ]], Table1[[Timepiece Reference ]], Table1[CRC STOCK], "Not Found")="YES", "CRC Stock", "Boutique Stock"))</f>
        <v/>
      </c>
      <c r="L59" s="140"/>
      <c r="M59" s="141"/>
      <c r="N59" s="137"/>
      <c r="O59" s="134"/>
      <c r="P59" s="94" t="str">
        <f>IFERROR(VLOOKUP(TRIM(O59), Collection!$B$2:$D$1001, 2, FALSE), "")</f>
        <v/>
      </c>
      <c r="Q59" s="190" t="str">
        <f>IFERROR(VLOOKUP(TRIM(O59), Collection!$B$2:$D$1001, 3, FALSE), "")</f>
        <v/>
      </c>
      <c r="R59" s="153" t="str">
        <f t="shared" si="0"/>
        <v/>
      </c>
      <c r="S59" s="154"/>
      <c r="T59" s="166"/>
      <c r="U59" s="137"/>
      <c r="V59" s="137"/>
      <c r="W59" s="156" t="str">
        <f t="shared" si="1"/>
        <v/>
      </c>
      <c r="X59" s="157"/>
      <c r="Y59" s="158"/>
      <c r="Z59" s="158"/>
      <c r="AA59" s="137" t="str">
        <f t="shared" ca="1" si="6"/>
        <v/>
      </c>
      <c r="AB59" s="137" t="str">
        <f t="shared" ca="1" si="2"/>
        <v/>
      </c>
      <c r="AC59" s="160" t="str">
        <f t="shared" ca="1" si="3"/>
        <v/>
      </c>
      <c r="AD59" s="159" t="str">
        <f t="shared" ca="1" si="4"/>
        <v/>
      </c>
      <c r="AE59" s="161"/>
      <c r="AF59" s="161"/>
      <c r="AG59" s="161"/>
      <c r="AH59" s="137"/>
      <c r="AI59" s="164" t="str">
        <f t="shared" si="7"/>
        <v/>
      </c>
      <c r="AJ59" s="164" t="str">
        <f>IF(AND(OpenPendingCases[[#This Row],[Sale Status	]]="Open Sale",OpenPendingCases[[#This Row],[Potential Same Month]]="High"),TEXT(OpenPendingCases[[#This Row],[Request Entry Date]], "[$-en-us]mmmm"),"")</f>
        <v/>
      </c>
      <c r="AK59" s="165" t="str">
        <f>IFERROR(VALUE(SUBSTITUTE(OpenPendingCases[[#This Row],[Price]]," AED","")),"")</f>
        <v/>
      </c>
      <c r="AL59" s="165" t="str">
        <f>IFERROR(VALUE(LEFT(OpenPendingCases[[#This Row],[Price]],FIND(" ",OpenPendingCases[[#This Row],[Price]])-1)),"")</f>
        <v/>
      </c>
      <c r="AM59" s="165" t="str">
        <f>IFERROR(VALUE(_xlfn.TEXTBEFORE(OpenPendingCases[[#This Row],[Price]]," AED")),"")</f>
        <v/>
      </c>
      <c r="AN59" s="165"/>
    </row>
    <row r="60" spans="3:40" ht="18" hidden="1" x14ac:dyDescent="0.35">
      <c r="C60" s="148">
        <v>59</v>
      </c>
      <c r="D60" s="137" t="str">
        <f>IF($U60="Open Sale", IF(MAX($D$4:D59)+1=0, "", MAX($D$4:D59)+1), "")</f>
        <v/>
      </c>
      <c r="E60" s="137" t="str">
        <f>IF($U60="Pending Allocation", IF(MAX($E$4:E59)+1=0, "", MAX($E$4:E59)+1), "")</f>
        <v/>
      </c>
      <c r="F60" s="137"/>
      <c r="G60" s="137"/>
      <c r="H60" s="150"/>
      <c r="I60" s="150"/>
      <c r="J60" s="68" t="str">
        <f>IF(OpenPendingCases[[#This Row],[Timepiece Reference ]]="", "", IF(_xlfn.XLOOKUP(OpenPendingCases[[#This Row],[Timepiece Reference ]], Table1[[Timepiece Reference ]], Table1[CRC STOCK], "Not Found")="YES", "CRC Stock", "Boutique Stock"))</f>
        <v/>
      </c>
      <c r="K60" s="137" t="str">
        <f>IF(OpenPendingCases[[#This Row],[Timepiece Reference ]]="", "", IF(_xlfn.XLOOKUP(OpenPendingCases[[#This Row],[Timepiece Reference ]], Table1[[Timepiece Reference ]], Table1[CRC STOCK], "Not Found")="YES", "CRC Stock", "Boutique Stock"))</f>
        <v/>
      </c>
      <c r="L60" s="140"/>
      <c r="M60" s="141"/>
      <c r="N60" s="137"/>
      <c r="O60" s="134"/>
      <c r="P60" s="94" t="str">
        <f>IFERROR(VLOOKUP(TRIM(O60), Collection!$B$2:$D$1001, 2, FALSE), "")</f>
        <v/>
      </c>
      <c r="Q60" s="190" t="str">
        <f>IFERROR(VLOOKUP(TRIM(O60), Collection!$B$2:$D$1001, 3, FALSE), "")</f>
        <v/>
      </c>
      <c r="R60" s="153" t="str">
        <f t="shared" si="0"/>
        <v/>
      </c>
      <c r="S60" s="154"/>
      <c r="T60" s="166"/>
      <c r="U60" s="137"/>
      <c r="V60" s="137"/>
      <c r="W60" s="156" t="str">
        <f t="shared" si="1"/>
        <v/>
      </c>
      <c r="X60" s="157"/>
      <c r="Y60" s="158"/>
      <c r="Z60" s="158"/>
      <c r="AA60" s="137" t="str">
        <f t="shared" ca="1" si="6"/>
        <v/>
      </c>
      <c r="AB60" s="137" t="str">
        <f t="shared" ca="1" si="2"/>
        <v/>
      </c>
      <c r="AC60" s="160" t="str">
        <f t="shared" ca="1" si="3"/>
        <v/>
      </c>
      <c r="AD60" s="159" t="str">
        <f t="shared" ca="1" si="4"/>
        <v/>
      </c>
      <c r="AE60" s="161"/>
      <c r="AF60" s="161"/>
      <c r="AG60" s="161"/>
      <c r="AH60" s="137"/>
      <c r="AI60" s="164" t="str">
        <f t="shared" si="7"/>
        <v/>
      </c>
      <c r="AJ60" s="164" t="str">
        <f>IF(AND(OpenPendingCases[[#This Row],[Sale Status	]]="Open Sale",OpenPendingCases[[#This Row],[Potential Same Month]]="High"),TEXT(OpenPendingCases[[#This Row],[Request Entry Date]], "[$-en-us]mmmm"),"")</f>
        <v/>
      </c>
      <c r="AK60" s="165" t="str">
        <f>IFERROR(VALUE(SUBSTITUTE(OpenPendingCases[[#This Row],[Price]]," AED","")),"")</f>
        <v/>
      </c>
      <c r="AL60" s="165" t="str">
        <f>IFERROR(VALUE(LEFT(OpenPendingCases[[#This Row],[Price]],FIND(" ",OpenPendingCases[[#This Row],[Price]])-1)),"")</f>
        <v/>
      </c>
      <c r="AM60" s="165" t="str">
        <f>IFERROR(VALUE(_xlfn.TEXTBEFORE(OpenPendingCases[[#This Row],[Price]]," AED")),"")</f>
        <v/>
      </c>
      <c r="AN60" s="165"/>
    </row>
    <row r="61" spans="3:40" ht="18" hidden="1" x14ac:dyDescent="0.35">
      <c r="C61" s="148">
        <v>60</v>
      </c>
      <c r="D61" s="137" t="str">
        <f>IF($U61="Open Sale", IF(MAX($D$4:D60)+1=0, "", MAX($D$4:D60)+1), "")</f>
        <v/>
      </c>
      <c r="E61" s="137" t="str">
        <f>IF($U61="Pending Allocation", IF(MAX($E$4:E60)+1=0, "", MAX($E$4:E60)+1), "")</f>
        <v/>
      </c>
      <c r="F61" s="137"/>
      <c r="G61" s="137"/>
      <c r="H61" s="150"/>
      <c r="I61" s="150"/>
      <c r="J61" s="68" t="str">
        <f>IF(OpenPendingCases[[#This Row],[Timepiece Reference ]]="", "", IF(_xlfn.XLOOKUP(OpenPendingCases[[#This Row],[Timepiece Reference ]], Table1[[Timepiece Reference ]], Table1[CRC STOCK], "Not Found")="YES", "CRC Stock", "Boutique Stock"))</f>
        <v/>
      </c>
      <c r="K61" s="137" t="str">
        <f>IF(OpenPendingCases[[#This Row],[Timepiece Reference ]]="", "", IF(_xlfn.XLOOKUP(OpenPendingCases[[#This Row],[Timepiece Reference ]], Table1[[Timepiece Reference ]], Table1[CRC STOCK], "Not Found")="YES", "CRC Stock", "Boutique Stock"))</f>
        <v/>
      </c>
      <c r="L61" s="140"/>
      <c r="M61" s="141"/>
      <c r="N61" s="137"/>
      <c r="O61" s="134"/>
      <c r="P61" s="94" t="str">
        <f>IFERROR(VLOOKUP(TRIM(O61), Collection!$B$2:$D$1001, 2, FALSE), "")</f>
        <v/>
      </c>
      <c r="Q61" s="190" t="str">
        <f>IFERROR(VLOOKUP(TRIM(O61), Collection!$B$2:$D$1001, 3, FALSE), "")</f>
        <v/>
      </c>
      <c r="R61" s="153" t="str">
        <f t="shared" si="0"/>
        <v/>
      </c>
      <c r="S61" s="154"/>
      <c r="T61" s="166"/>
      <c r="U61" s="137"/>
      <c r="V61" s="137"/>
      <c r="W61" s="156" t="str">
        <f t="shared" si="1"/>
        <v/>
      </c>
      <c r="X61" s="157"/>
      <c r="Y61" s="158"/>
      <c r="Z61" s="158"/>
      <c r="AA61" s="137" t="str">
        <f t="shared" ca="1" si="6"/>
        <v/>
      </c>
      <c r="AB61" s="137" t="str">
        <f t="shared" ca="1" si="2"/>
        <v/>
      </c>
      <c r="AC61" s="160" t="str">
        <f t="shared" ca="1" si="3"/>
        <v/>
      </c>
      <c r="AD61" s="159" t="str">
        <f t="shared" ca="1" si="4"/>
        <v/>
      </c>
      <c r="AE61" s="161"/>
      <c r="AF61" s="161"/>
      <c r="AG61" s="161"/>
      <c r="AH61" s="137"/>
      <c r="AI61" s="164" t="str">
        <f t="shared" si="7"/>
        <v/>
      </c>
      <c r="AJ61" s="164" t="str">
        <f>IF(AND(OpenPendingCases[[#This Row],[Sale Status	]]="Open Sale",OpenPendingCases[[#This Row],[Potential Same Month]]="High"),TEXT(OpenPendingCases[[#This Row],[Request Entry Date]], "[$-en-us]mmmm"),"")</f>
        <v/>
      </c>
      <c r="AK61" s="165" t="str">
        <f>IFERROR(VALUE(SUBSTITUTE(OpenPendingCases[[#This Row],[Price]]," AED","")),"")</f>
        <v/>
      </c>
      <c r="AL61" s="165" t="str">
        <f>IFERROR(VALUE(LEFT(OpenPendingCases[[#This Row],[Price]],FIND(" ",OpenPendingCases[[#This Row],[Price]])-1)),"")</f>
        <v/>
      </c>
      <c r="AM61" s="165" t="str">
        <f>IFERROR(VALUE(_xlfn.TEXTBEFORE(OpenPendingCases[[#This Row],[Price]]," AED")),"")</f>
        <v/>
      </c>
      <c r="AN61" s="165"/>
    </row>
    <row r="62" spans="3:40" ht="18" hidden="1" x14ac:dyDescent="0.35">
      <c r="C62" s="148">
        <v>61</v>
      </c>
      <c r="D62" s="137" t="str">
        <f>IF($U62="Open Sale", IF(MAX($D$4:D61)+1=0, "", MAX($D$4:D61)+1), "")</f>
        <v/>
      </c>
      <c r="E62" s="137" t="str">
        <f>IF($U62="Pending Allocation", IF(MAX($E$4:E61)+1=0, "", MAX($E$4:E61)+1), "")</f>
        <v/>
      </c>
      <c r="F62" s="137"/>
      <c r="G62" s="137"/>
      <c r="H62" s="150"/>
      <c r="I62" s="150"/>
      <c r="J62" s="68" t="str">
        <f>IF(OpenPendingCases[[#This Row],[Timepiece Reference ]]="", "", IF(_xlfn.XLOOKUP(OpenPendingCases[[#This Row],[Timepiece Reference ]], Table1[[Timepiece Reference ]], Table1[CRC STOCK], "Not Found")="YES", "CRC Stock", "Boutique Stock"))</f>
        <v/>
      </c>
      <c r="K62" s="137" t="str">
        <f>IF(OpenPendingCases[[#This Row],[Timepiece Reference ]]="", "", IF(_xlfn.XLOOKUP(OpenPendingCases[[#This Row],[Timepiece Reference ]], Table1[[Timepiece Reference ]], Table1[CRC STOCK], "Not Found")="YES", "CRC Stock", "Boutique Stock"))</f>
        <v/>
      </c>
      <c r="L62" s="140"/>
      <c r="M62" s="141"/>
      <c r="N62" s="137"/>
      <c r="O62" s="134"/>
      <c r="P62" s="94" t="str">
        <f>IFERROR(VLOOKUP(TRIM(O62), Collection!$B$2:$D$1001, 2, FALSE), "")</f>
        <v/>
      </c>
      <c r="Q62" s="190" t="str">
        <f>IFERROR(VLOOKUP(TRIM(O62), Collection!$B$2:$D$1001, 3, FALSE), "")</f>
        <v/>
      </c>
      <c r="R62" s="153" t="str">
        <f t="shared" si="0"/>
        <v/>
      </c>
      <c r="S62" s="154"/>
      <c r="T62" s="166"/>
      <c r="U62" s="137"/>
      <c r="V62" s="137"/>
      <c r="W62" s="156" t="str">
        <f t="shared" si="1"/>
        <v/>
      </c>
      <c r="X62" s="157"/>
      <c r="Y62" s="158"/>
      <c r="Z62" s="158"/>
      <c r="AA62" s="137" t="str">
        <f t="shared" ca="1" si="6"/>
        <v/>
      </c>
      <c r="AB62" s="137" t="str">
        <f t="shared" ca="1" si="2"/>
        <v/>
      </c>
      <c r="AC62" s="160" t="str">
        <f t="shared" ca="1" si="3"/>
        <v/>
      </c>
      <c r="AD62" s="159" t="str">
        <f t="shared" ca="1" si="4"/>
        <v/>
      </c>
      <c r="AE62" s="161"/>
      <c r="AF62" s="161"/>
      <c r="AG62" s="161"/>
      <c r="AH62" s="137"/>
      <c r="AI62" s="164" t="str">
        <f t="shared" si="7"/>
        <v/>
      </c>
      <c r="AJ62" s="164" t="str">
        <f>IF(AND(OpenPendingCases[[#This Row],[Sale Status	]]="Open Sale",OpenPendingCases[[#This Row],[Potential Same Month]]="High"),TEXT(OpenPendingCases[[#This Row],[Request Entry Date]], "[$-en-us]mmmm"),"")</f>
        <v/>
      </c>
      <c r="AK62" s="165" t="str">
        <f>IFERROR(VALUE(SUBSTITUTE(OpenPendingCases[[#This Row],[Price]]," AED","")),"")</f>
        <v/>
      </c>
      <c r="AL62" s="165" t="str">
        <f>IFERROR(VALUE(LEFT(OpenPendingCases[[#This Row],[Price]],FIND(" ",OpenPendingCases[[#This Row],[Price]])-1)),"")</f>
        <v/>
      </c>
      <c r="AM62" s="165" t="str">
        <f>IFERROR(VALUE(_xlfn.TEXTBEFORE(OpenPendingCases[[#This Row],[Price]]," AED")),"")</f>
        <v/>
      </c>
      <c r="AN62" s="165"/>
    </row>
    <row r="63" spans="3:40" ht="18" hidden="1" x14ac:dyDescent="0.35">
      <c r="C63" s="148">
        <v>62</v>
      </c>
      <c r="D63" s="137" t="str">
        <f>IF($U63="Open Sale", IF(MAX($D$4:D62)+1=0, "", MAX($D$4:D62)+1), "")</f>
        <v/>
      </c>
      <c r="E63" s="137" t="str">
        <f>IF($U63="Pending Allocation", IF(MAX($E$4:E62)+1=0, "", MAX($E$4:E62)+1), "")</f>
        <v/>
      </c>
      <c r="F63" s="137"/>
      <c r="G63" s="137"/>
      <c r="H63" s="150"/>
      <c r="I63" s="150"/>
      <c r="J63" s="68" t="str">
        <f>IF(OpenPendingCases[[#This Row],[Timepiece Reference ]]="", "", IF(_xlfn.XLOOKUP(OpenPendingCases[[#This Row],[Timepiece Reference ]], Table1[[Timepiece Reference ]], Table1[CRC STOCK], "Not Found")="YES", "CRC Stock", "Boutique Stock"))</f>
        <v/>
      </c>
      <c r="K63" s="137" t="str">
        <f>IF(OpenPendingCases[[#This Row],[Timepiece Reference ]]="", "", IF(_xlfn.XLOOKUP(OpenPendingCases[[#This Row],[Timepiece Reference ]], Table1[[Timepiece Reference ]], Table1[CRC STOCK], "Not Found")="YES", "CRC Stock", "Boutique Stock"))</f>
        <v/>
      </c>
      <c r="L63" s="140"/>
      <c r="M63" s="141"/>
      <c r="N63" s="137"/>
      <c r="O63" s="134"/>
      <c r="P63" s="94" t="str">
        <f>IFERROR(VLOOKUP(TRIM(O63), Collection!$B$2:$D$1001, 2, FALSE), "")</f>
        <v/>
      </c>
      <c r="Q63" s="190" t="str">
        <f>IFERROR(VLOOKUP(TRIM(O63), Collection!$B$2:$D$1001, 3, FALSE), "")</f>
        <v/>
      </c>
      <c r="R63" s="153" t="str">
        <f t="shared" si="0"/>
        <v/>
      </c>
      <c r="S63" s="154"/>
      <c r="T63" s="166"/>
      <c r="U63" s="137"/>
      <c r="V63" s="137"/>
      <c r="W63" s="156" t="str">
        <f t="shared" si="1"/>
        <v/>
      </c>
      <c r="X63" s="157"/>
      <c r="Y63" s="158"/>
      <c r="Z63" s="158"/>
      <c r="AA63" s="137" t="str">
        <f t="shared" ca="1" si="6"/>
        <v/>
      </c>
      <c r="AB63" s="137" t="str">
        <f t="shared" ca="1" si="2"/>
        <v/>
      </c>
      <c r="AC63" s="160" t="str">
        <f t="shared" ca="1" si="3"/>
        <v/>
      </c>
      <c r="AD63" s="159" t="str">
        <f t="shared" ca="1" si="4"/>
        <v/>
      </c>
      <c r="AE63" s="161"/>
      <c r="AF63" s="161"/>
      <c r="AG63" s="161"/>
      <c r="AH63" s="137"/>
      <c r="AI63" s="164" t="str">
        <f t="shared" si="7"/>
        <v/>
      </c>
      <c r="AJ63" s="164" t="str">
        <f>IF(AND(OpenPendingCases[[#This Row],[Sale Status	]]="Open Sale",OpenPendingCases[[#This Row],[Potential Same Month]]="High"),TEXT(OpenPendingCases[[#This Row],[Request Entry Date]], "[$-en-us]mmmm"),"")</f>
        <v/>
      </c>
      <c r="AK63" s="165" t="str">
        <f>IFERROR(VALUE(SUBSTITUTE(OpenPendingCases[[#This Row],[Price]]," AED","")),"")</f>
        <v/>
      </c>
      <c r="AL63" s="165" t="str">
        <f>IFERROR(VALUE(LEFT(OpenPendingCases[[#This Row],[Price]],FIND(" ",OpenPendingCases[[#This Row],[Price]])-1)),"")</f>
        <v/>
      </c>
      <c r="AM63" s="165" t="str">
        <f>IFERROR(VALUE(_xlfn.TEXTBEFORE(OpenPendingCases[[#This Row],[Price]]," AED")),"")</f>
        <v/>
      </c>
      <c r="AN63" s="165"/>
    </row>
    <row r="64" spans="3:40" ht="18" hidden="1" x14ac:dyDescent="0.35">
      <c r="C64" s="148">
        <v>63</v>
      </c>
      <c r="D64" s="137" t="str">
        <f>IF($U64="Open Sale", IF(MAX($D$4:D63)+1=0, "", MAX($D$4:D63)+1), "")</f>
        <v/>
      </c>
      <c r="E64" s="137" t="str">
        <f>IF($U64="Pending Allocation", IF(MAX($E$4:E63)+1=0, "", MAX($E$4:E63)+1), "")</f>
        <v/>
      </c>
      <c r="F64" s="137"/>
      <c r="G64" s="137"/>
      <c r="H64" s="150"/>
      <c r="I64" s="150"/>
      <c r="J64" s="68" t="str">
        <f>IF(OpenPendingCases[[#This Row],[Timepiece Reference ]]="", "", IF(_xlfn.XLOOKUP(OpenPendingCases[[#This Row],[Timepiece Reference ]], Table1[[Timepiece Reference ]], Table1[CRC STOCK], "Not Found")="YES", "CRC Stock", "Boutique Stock"))</f>
        <v/>
      </c>
      <c r="K64" s="137" t="str">
        <f>IF(OpenPendingCases[[#This Row],[Timepiece Reference ]]="", "", IF(_xlfn.XLOOKUP(OpenPendingCases[[#This Row],[Timepiece Reference ]], Table1[[Timepiece Reference ]], Table1[CRC STOCK], "Not Found")="YES", "CRC Stock", "Boutique Stock"))</f>
        <v/>
      </c>
      <c r="L64" s="140"/>
      <c r="M64" s="141"/>
      <c r="N64" s="137"/>
      <c r="O64" s="134"/>
      <c r="P64" s="94" t="str">
        <f>IFERROR(VLOOKUP(TRIM(O64), Collection!$B$2:$D$1001, 2, FALSE), "")</f>
        <v/>
      </c>
      <c r="Q64" s="190" t="str">
        <f>IFERROR(VLOOKUP(TRIM(O64), Collection!$B$2:$D$1001, 3, FALSE), "")</f>
        <v/>
      </c>
      <c r="R64" s="153" t="str">
        <f t="shared" si="0"/>
        <v/>
      </c>
      <c r="S64" s="154"/>
      <c r="T64" s="166"/>
      <c r="U64" s="137"/>
      <c r="V64" s="137"/>
      <c r="W64" s="156" t="str">
        <f t="shared" si="1"/>
        <v/>
      </c>
      <c r="X64" s="157"/>
      <c r="Y64" s="158"/>
      <c r="Z64" s="158"/>
      <c r="AA64" s="137" t="str">
        <f t="shared" ca="1" si="6"/>
        <v/>
      </c>
      <c r="AB64" s="137" t="str">
        <f t="shared" ca="1" si="2"/>
        <v/>
      </c>
      <c r="AC64" s="160" t="str">
        <f t="shared" ca="1" si="3"/>
        <v/>
      </c>
      <c r="AD64" s="159" t="str">
        <f t="shared" ca="1" si="4"/>
        <v/>
      </c>
      <c r="AE64" s="161"/>
      <c r="AF64" s="161"/>
      <c r="AG64" s="161"/>
      <c r="AH64" s="137"/>
      <c r="AI64" s="164" t="str">
        <f t="shared" si="7"/>
        <v/>
      </c>
      <c r="AJ64" s="164" t="str">
        <f>IF(AND(OpenPendingCases[[#This Row],[Sale Status	]]="Open Sale",OpenPendingCases[[#This Row],[Potential Same Month]]="High"),TEXT(OpenPendingCases[[#This Row],[Request Entry Date]], "[$-en-us]mmmm"),"")</f>
        <v/>
      </c>
      <c r="AK64" s="165" t="str">
        <f>IFERROR(VALUE(SUBSTITUTE(OpenPendingCases[[#This Row],[Price]]," AED","")),"")</f>
        <v/>
      </c>
      <c r="AL64" s="165" t="str">
        <f>IFERROR(VALUE(LEFT(OpenPendingCases[[#This Row],[Price]],FIND(" ",OpenPendingCases[[#This Row],[Price]])-1)),"")</f>
        <v/>
      </c>
      <c r="AM64" s="165" t="str">
        <f>IFERROR(VALUE(_xlfn.TEXTBEFORE(OpenPendingCases[[#This Row],[Price]]," AED")),"")</f>
        <v/>
      </c>
      <c r="AN64" s="165"/>
    </row>
    <row r="65" spans="3:40" ht="18" hidden="1" x14ac:dyDescent="0.35">
      <c r="C65" s="148">
        <v>64</v>
      </c>
      <c r="D65" s="137" t="str">
        <f>IF($U65="Open Sale", IF(MAX($D$4:D64)+1=0, "", MAX($D$4:D64)+1), "")</f>
        <v/>
      </c>
      <c r="E65" s="137" t="str">
        <f>IF($U65="Pending Allocation", IF(MAX($E$4:E64)+1=0, "", MAX($E$4:E64)+1), "")</f>
        <v/>
      </c>
      <c r="F65" s="137"/>
      <c r="G65" s="137"/>
      <c r="H65" s="150"/>
      <c r="I65" s="150"/>
      <c r="J65" s="68" t="str">
        <f>IF(OpenPendingCases[[#This Row],[Timepiece Reference ]]="", "", IF(_xlfn.XLOOKUP(OpenPendingCases[[#This Row],[Timepiece Reference ]], Table1[[Timepiece Reference ]], Table1[CRC STOCK], "Not Found")="YES", "CRC Stock", "Boutique Stock"))</f>
        <v/>
      </c>
      <c r="K65" s="137" t="str">
        <f>IF(OpenPendingCases[[#This Row],[Timepiece Reference ]]="", "", IF(_xlfn.XLOOKUP(OpenPendingCases[[#This Row],[Timepiece Reference ]], Table1[[Timepiece Reference ]], Table1[CRC STOCK], "Not Found")="YES", "CRC Stock", "Boutique Stock"))</f>
        <v/>
      </c>
      <c r="L65" s="140"/>
      <c r="M65" s="141"/>
      <c r="N65" s="137"/>
      <c r="O65" s="134"/>
      <c r="P65" s="94" t="str">
        <f>IFERROR(VLOOKUP(TRIM(O65), Collection!$B$2:$D$1001, 2, FALSE), "")</f>
        <v/>
      </c>
      <c r="Q65" s="190" t="str">
        <f>IFERROR(VLOOKUP(TRIM(O65), Collection!$B$2:$D$1001, 3, FALSE), "")</f>
        <v/>
      </c>
      <c r="R65" s="153" t="str">
        <f t="shared" si="0"/>
        <v/>
      </c>
      <c r="S65" s="154"/>
      <c r="T65" s="166"/>
      <c r="U65" s="137"/>
      <c r="V65" s="137"/>
      <c r="W65" s="156" t="str">
        <f t="shared" si="1"/>
        <v/>
      </c>
      <c r="X65" s="157"/>
      <c r="Y65" s="158"/>
      <c r="Z65" s="158"/>
      <c r="AA65" s="137" t="str">
        <f t="shared" ca="1" si="6"/>
        <v/>
      </c>
      <c r="AB65" s="137" t="str">
        <f t="shared" ca="1" si="2"/>
        <v/>
      </c>
      <c r="AC65" s="160" t="str">
        <f t="shared" ca="1" si="3"/>
        <v/>
      </c>
      <c r="AD65" s="159" t="str">
        <f t="shared" ca="1" si="4"/>
        <v/>
      </c>
      <c r="AE65" s="161"/>
      <c r="AF65" s="161"/>
      <c r="AG65" s="161"/>
      <c r="AH65" s="137"/>
      <c r="AI65" s="164" t="str">
        <f t="shared" si="7"/>
        <v/>
      </c>
      <c r="AJ65" s="164" t="str">
        <f>IF(AND(OpenPendingCases[[#This Row],[Sale Status	]]="Open Sale",OpenPendingCases[[#This Row],[Potential Same Month]]="High"),TEXT(OpenPendingCases[[#This Row],[Request Entry Date]], "[$-en-us]mmmm"),"")</f>
        <v/>
      </c>
      <c r="AK65" s="165" t="str">
        <f>IFERROR(VALUE(SUBSTITUTE(OpenPendingCases[[#This Row],[Price]]," AED","")),"")</f>
        <v/>
      </c>
      <c r="AL65" s="165" t="str">
        <f>IFERROR(VALUE(LEFT(OpenPendingCases[[#This Row],[Price]],FIND(" ",OpenPendingCases[[#This Row],[Price]])-1)),"")</f>
        <v/>
      </c>
      <c r="AM65" s="165" t="str">
        <f>IFERROR(VALUE(_xlfn.TEXTBEFORE(OpenPendingCases[[#This Row],[Price]]," AED")),"")</f>
        <v/>
      </c>
      <c r="AN65" s="165"/>
    </row>
    <row r="66" spans="3:40" ht="18" hidden="1" x14ac:dyDescent="0.35">
      <c r="C66" s="148">
        <v>65</v>
      </c>
      <c r="D66" s="137" t="str">
        <f>IF($U66="Open Sale", IF(MAX($D$4:D65)+1=0, "", MAX($D$4:D65)+1), "")</f>
        <v/>
      </c>
      <c r="E66" s="137" t="str">
        <f>IF($U66="Pending Allocation", IF(MAX($E$4:E65)+1=0, "", MAX($E$4:E65)+1), "")</f>
        <v/>
      </c>
      <c r="F66" s="137"/>
      <c r="G66" s="137"/>
      <c r="H66" s="150"/>
      <c r="I66" s="150"/>
      <c r="J66" s="68" t="str">
        <f>IF(OpenPendingCases[[#This Row],[Timepiece Reference ]]="", "", IF(_xlfn.XLOOKUP(OpenPendingCases[[#This Row],[Timepiece Reference ]], Table1[[Timepiece Reference ]], Table1[CRC STOCK], "Not Found")="YES", "CRC Stock", "Boutique Stock"))</f>
        <v/>
      </c>
      <c r="K66" s="137" t="str">
        <f>IF(OpenPendingCases[[#This Row],[Timepiece Reference ]]="", "", IF(_xlfn.XLOOKUP(OpenPendingCases[[#This Row],[Timepiece Reference ]], Table1[[Timepiece Reference ]], Table1[CRC STOCK], "Not Found")="YES", "CRC Stock", "Boutique Stock"))</f>
        <v/>
      </c>
      <c r="L66" s="140"/>
      <c r="M66" s="141"/>
      <c r="N66" s="137"/>
      <c r="O66" s="134"/>
      <c r="P66" s="94" t="str">
        <f>IFERROR(VLOOKUP(TRIM(O66), Collection!$B$2:$D$1001, 2, FALSE), "")</f>
        <v/>
      </c>
      <c r="Q66" s="190" t="str">
        <f>IFERROR(VLOOKUP(TRIM(O66), Collection!$B$2:$D$1001, 3, FALSE), "")</f>
        <v/>
      </c>
      <c r="R66" s="153" t="str">
        <f t="shared" si="0"/>
        <v/>
      </c>
      <c r="S66" s="154"/>
      <c r="T66" s="166"/>
      <c r="U66" s="137"/>
      <c r="V66" s="137"/>
      <c r="W66" s="156" t="str">
        <f t="shared" si="1"/>
        <v/>
      </c>
      <c r="X66" s="157"/>
      <c r="Y66" s="158"/>
      <c r="Z66" s="158"/>
      <c r="AA66" s="137" t="str">
        <f t="shared" ca="1" si="6"/>
        <v/>
      </c>
      <c r="AB66" s="137" t="str">
        <f t="shared" ca="1" si="2"/>
        <v/>
      </c>
      <c r="AC66" s="160" t="str">
        <f t="shared" ca="1" si="3"/>
        <v/>
      </c>
      <c r="AD66" s="159" t="str">
        <f t="shared" ca="1" si="4"/>
        <v/>
      </c>
      <c r="AE66" s="161"/>
      <c r="AF66" s="161"/>
      <c r="AG66" s="161"/>
      <c r="AH66" s="137"/>
      <c r="AI66" s="164" t="str">
        <f t="shared" si="7"/>
        <v/>
      </c>
      <c r="AJ66" s="164" t="str">
        <f>IF(AND(OpenPendingCases[[#This Row],[Sale Status	]]="Open Sale",OpenPendingCases[[#This Row],[Potential Same Month]]="High"),TEXT(OpenPendingCases[[#This Row],[Request Entry Date]], "[$-en-us]mmmm"),"")</f>
        <v/>
      </c>
      <c r="AK66" s="165" t="str">
        <f>IFERROR(VALUE(SUBSTITUTE(OpenPendingCases[[#This Row],[Price]]," AED","")),"")</f>
        <v/>
      </c>
      <c r="AL66" s="165" t="str">
        <f>IFERROR(VALUE(LEFT(OpenPendingCases[[#This Row],[Price]],FIND(" ",OpenPendingCases[[#This Row],[Price]])-1)),"")</f>
        <v/>
      </c>
      <c r="AM66" s="165" t="str">
        <f>IFERROR(VALUE(_xlfn.TEXTBEFORE(OpenPendingCases[[#This Row],[Price]]," AED")),"")</f>
        <v/>
      </c>
      <c r="AN66" s="165"/>
    </row>
    <row r="67" spans="3:40" ht="18" hidden="1" x14ac:dyDescent="0.35">
      <c r="C67" s="148">
        <v>66</v>
      </c>
      <c r="D67" s="137" t="str">
        <f>IF($U67="Open Sale", IF(MAX($D$4:D66)+1=0, "", MAX($D$4:D66)+1), "")</f>
        <v/>
      </c>
      <c r="E67" s="137" t="str">
        <f>IF($U67="Pending Allocation", IF(MAX($E$4:E66)+1=0, "", MAX($E$4:E66)+1), "")</f>
        <v/>
      </c>
      <c r="F67" s="137"/>
      <c r="G67" s="137"/>
      <c r="H67" s="150"/>
      <c r="I67" s="150"/>
      <c r="J67" s="68" t="str">
        <f>IF(OpenPendingCases[[#This Row],[Timepiece Reference ]]="", "", IF(_xlfn.XLOOKUP(OpenPendingCases[[#This Row],[Timepiece Reference ]], Table1[[Timepiece Reference ]], Table1[CRC STOCK], "Not Found")="YES", "CRC Stock", "Boutique Stock"))</f>
        <v/>
      </c>
      <c r="K67" s="137" t="str">
        <f>IF(OpenPendingCases[[#This Row],[Timepiece Reference ]]="", "", IF(_xlfn.XLOOKUP(OpenPendingCases[[#This Row],[Timepiece Reference ]], Table1[[Timepiece Reference ]], Table1[CRC STOCK], "Not Found")="YES", "CRC Stock", "Boutique Stock"))</f>
        <v/>
      </c>
      <c r="L67" s="140"/>
      <c r="M67" s="141"/>
      <c r="N67" s="137"/>
      <c r="O67" s="134"/>
      <c r="P67" s="94" t="str">
        <f>IFERROR(VLOOKUP(TRIM(O67), Collection!$B$2:$D$1001, 2, FALSE), "")</f>
        <v/>
      </c>
      <c r="Q67" s="190" t="str">
        <f>IFERROR(VLOOKUP(TRIM(O67), Collection!$B$2:$D$1001, 3, FALSE), "")</f>
        <v/>
      </c>
      <c r="R67" s="153" t="str">
        <f t="shared" ref="R67:R130" si="8">IFERROR(VALUE(SUBSTITUTE(SUBSTITUTE(Q67, "Price", ""), "AED", "")), "")</f>
        <v/>
      </c>
      <c r="S67" s="154"/>
      <c r="T67" s="166"/>
      <c r="U67" s="137"/>
      <c r="V67" s="137"/>
      <c r="W67" s="156" t="str">
        <f t="shared" si="1"/>
        <v/>
      </c>
      <c r="X67" s="157"/>
      <c r="Y67" s="158"/>
      <c r="Z67" s="158"/>
      <c r="AA67" s="137" t="str">
        <f t="shared" ca="1" si="6"/>
        <v/>
      </c>
      <c r="AB67" s="137" t="str">
        <f t="shared" ref="AB67:AB130" ca="1" si="9">IF(H67="", "", IF(OR(U67="Pending", U67="Pending Allocation"), CONCATENATE(TODAY()-H67, " Days"), IF(U67="Closed", "", "")))</f>
        <v/>
      </c>
      <c r="AC67" s="160" t="str">
        <f t="shared" ref="AC67:AC130" ca="1" si="10">IF(U67="Pending Allocation", IF(I67="", "", TODAY()-I67), "")</f>
        <v/>
      </c>
      <c r="AD67" s="159" t="str">
        <f t="shared" ref="AD67:AD130" ca="1" si="11">IF(U67="Open Sale", TEXT(TODAY()-I67, "0"),
   IF(U67="Pending", "",
      IF(U67="Closed Sale", "", "")))</f>
        <v/>
      </c>
      <c r="AE67" s="161"/>
      <c r="AF67" s="161"/>
      <c r="AG67" s="161"/>
      <c r="AH67" s="137"/>
      <c r="AI67" s="164" t="str">
        <f t="shared" si="7"/>
        <v/>
      </c>
      <c r="AJ67" s="164" t="str">
        <f>IF(AND(OpenPendingCases[[#This Row],[Sale Status	]]="Open Sale",OpenPendingCases[[#This Row],[Potential Same Month]]="High"),TEXT(OpenPendingCases[[#This Row],[Request Entry Date]], "[$-en-us]mmmm"),"")</f>
        <v/>
      </c>
      <c r="AK67" s="165" t="str">
        <f>IFERROR(VALUE(SUBSTITUTE(OpenPendingCases[[#This Row],[Price]]," AED","")),"")</f>
        <v/>
      </c>
      <c r="AL67" s="165" t="str">
        <f>IFERROR(VALUE(LEFT(OpenPendingCases[[#This Row],[Price]],FIND(" ",OpenPendingCases[[#This Row],[Price]])-1)),"")</f>
        <v/>
      </c>
      <c r="AM67" s="165" t="str">
        <f>IFERROR(VALUE(_xlfn.TEXTBEFORE(OpenPendingCases[[#This Row],[Price]]," AED")),"")</f>
        <v/>
      </c>
      <c r="AN67" s="165"/>
    </row>
    <row r="68" spans="3:40" ht="18" hidden="1" x14ac:dyDescent="0.35">
      <c r="C68" s="148">
        <v>67</v>
      </c>
      <c r="D68" s="137" t="str">
        <f>IF($U68="Open Sale", IF(MAX($D$4:D67)+1=0, "", MAX($D$4:D67)+1), "")</f>
        <v/>
      </c>
      <c r="E68" s="137" t="str">
        <f>IF($U68="Pending Allocation", IF(MAX($E$4:E67)+1=0, "", MAX($E$4:E67)+1), "")</f>
        <v/>
      </c>
      <c r="F68" s="137"/>
      <c r="G68" s="137"/>
      <c r="H68" s="150"/>
      <c r="I68" s="150"/>
      <c r="J68" s="68" t="str">
        <f>IF(OpenPendingCases[[#This Row],[Timepiece Reference ]]="", "", IF(_xlfn.XLOOKUP(OpenPendingCases[[#This Row],[Timepiece Reference ]], Table1[[Timepiece Reference ]], Table1[CRC STOCK], "Not Found")="YES", "CRC Stock", "Boutique Stock"))</f>
        <v/>
      </c>
      <c r="K68" s="137" t="str">
        <f>IF(OpenPendingCases[[#This Row],[Timepiece Reference ]]="", "", IF(_xlfn.XLOOKUP(OpenPendingCases[[#This Row],[Timepiece Reference ]], Table1[[Timepiece Reference ]], Table1[CRC STOCK], "Not Found")="YES", "CRC Stock", "Boutique Stock"))</f>
        <v/>
      </c>
      <c r="L68" s="140"/>
      <c r="M68" s="141"/>
      <c r="N68" s="137"/>
      <c r="O68" s="134"/>
      <c r="P68" s="94" t="str">
        <f>IFERROR(VLOOKUP(TRIM(O68), Collection!$B$2:$D$1001, 2, FALSE), "")</f>
        <v/>
      </c>
      <c r="Q68" s="190" t="str">
        <f>IFERROR(VLOOKUP(TRIM(O68), Collection!$B$2:$D$1001, 3, FALSE), "")</f>
        <v/>
      </c>
      <c r="R68" s="153" t="str">
        <f t="shared" si="8"/>
        <v/>
      </c>
      <c r="S68" s="154"/>
      <c r="T68" s="166"/>
      <c r="U68" s="137"/>
      <c r="V68" s="137"/>
      <c r="W68" s="156" t="str">
        <f t="shared" ref="W68:W96" si="12" xml:space="preserve"> IF(Z68 = "",
     "",
     TEXT(Z68, "mmmm"))</f>
        <v/>
      </c>
      <c r="X68" s="157"/>
      <c r="Y68" s="158"/>
      <c r="Z68" s="158"/>
      <c r="AA68" s="137" t="str">
        <f t="shared" ref="AA68:AA131" ca="1" si="13">IF(H68="", "", IF(U68="Open Sale", IF(TODAY()-H68=0, "0 Days", TEXT(TODAY()-H68, "0") &amp; " Days"), IF(U68="Closed Sale", AA68, "")))</f>
        <v/>
      </c>
      <c r="AB68" s="137" t="str">
        <f t="shared" ca="1" si="9"/>
        <v/>
      </c>
      <c r="AC68" s="160" t="str">
        <f t="shared" ca="1" si="10"/>
        <v/>
      </c>
      <c r="AD68" s="159" t="str">
        <f t="shared" ca="1" si="11"/>
        <v/>
      </c>
      <c r="AE68" s="161"/>
      <c r="AF68" s="161"/>
      <c r="AG68" s="161"/>
      <c r="AH68" s="137"/>
      <c r="AI68" s="164" t="str">
        <f t="shared" si="7"/>
        <v/>
      </c>
      <c r="AJ68" s="164" t="str">
        <f>IF(AND(OpenPendingCases[[#This Row],[Sale Status	]]="Open Sale",OpenPendingCases[[#This Row],[Potential Same Month]]="High"),TEXT(OpenPendingCases[[#This Row],[Request Entry Date]], "[$-en-us]mmmm"),"")</f>
        <v/>
      </c>
      <c r="AK68" s="165" t="str">
        <f>IFERROR(VALUE(SUBSTITUTE(OpenPendingCases[[#This Row],[Price]]," AED","")),"")</f>
        <v/>
      </c>
      <c r="AL68" s="165" t="str">
        <f>IFERROR(VALUE(LEFT(OpenPendingCases[[#This Row],[Price]],FIND(" ",OpenPendingCases[[#This Row],[Price]])-1)),"")</f>
        <v/>
      </c>
      <c r="AM68" s="165" t="str">
        <f>IFERROR(VALUE(_xlfn.TEXTBEFORE(OpenPendingCases[[#This Row],[Price]]," AED")),"")</f>
        <v/>
      </c>
      <c r="AN68" s="165"/>
    </row>
    <row r="69" spans="3:40" ht="18" hidden="1" x14ac:dyDescent="0.35">
      <c r="C69" s="148">
        <v>68</v>
      </c>
      <c r="D69" s="137" t="str">
        <f>IF($U69="Open Sale", IF(MAX($D$4:D68)+1=0, "", MAX($D$4:D68)+1), "")</f>
        <v/>
      </c>
      <c r="E69" s="137" t="str">
        <f>IF($U69="Pending Allocation", IF(MAX($E$4:E68)+1=0, "", MAX($E$4:E68)+1), "")</f>
        <v/>
      </c>
      <c r="F69" s="137"/>
      <c r="G69" s="137"/>
      <c r="H69" s="150"/>
      <c r="I69" s="150"/>
      <c r="J69" s="68" t="str">
        <f>IF(OpenPendingCases[[#This Row],[Timepiece Reference ]]="", "", IF(_xlfn.XLOOKUP(OpenPendingCases[[#This Row],[Timepiece Reference ]], Table1[[Timepiece Reference ]], Table1[CRC STOCK], "Not Found")="YES", "CRC Stock", "Boutique Stock"))</f>
        <v/>
      </c>
      <c r="K69" s="137" t="str">
        <f>IF(OpenPendingCases[[#This Row],[Timepiece Reference ]]="", "", IF(_xlfn.XLOOKUP(OpenPendingCases[[#This Row],[Timepiece Reference ]], Table1[[Timepiece Reference ]], Table1[CRC STOCK], "Not Found")="YES", "CRC Stock", "Boutique Stock"))</f>
        <v/>
      </c>
      <c r="L69" s="140"/>
      <c r="M69" s="141"/>
      <c r="N69" s="137"/>
      <c r="O69" s="134"/>
      <c r="P69" s="94" t="str">
        <f>IFERROR(VLOOKUP(TRIM(O69), Collection!$B$2:$D$1001, 2, FALSE), "")</f>
        <v/>
      </c>
      <c r="Q69" s="190" t="str">
        <f>IFERROR(VLOOKUP(TRIM(O69), Collection!$B$2:$D$1001, 3, FALSE), "")</f>
        <v/>
      </c>
      <c r="R69" s="153" t="str">
        <f t="shared" si="8"/>
        <v/>
      </c>
      <c r="S69" s="154"/>
      <c r="T69" s="166"/>
      <c r="U69" s="137"/>
      <c r="V69" s="137"/>
      <c r="W69" s="156" t="str">
        <f t="shared" si="12"/>
        <v/>
      </c>
      <c r="X69" s="157"/>
      <c r="Y69" s="158"/>
      <c r="Z69" s="158"/>
      <c r="AA69" s="137" t="str">
        <f t="shared" ca="1" si="13"/>
        <v/>
      </c>
      <c r="AB69" s="137" t="str">
        <f t="shared" ca="1" si="9"/>
        <v/>
      </c>
      <c r="AC69" s="160" t="str">
        <f t="shared" ca="1" si="10"/>
        <v/>
      </c>
      <c r="AD69" s="159" t="str">
        <f t="shared" ca="1" si="11"/>
        <v/>
      </c>
      <c r="AE69" s="161"/>
      <c r="AF69" s="161"/>
      <c r="AG69" s="161"/>
      <c r="AH69" s="137"/>
      <c r="AI69" s="164" t="str">
        <f t="shared" si="7"/>
        <v/>
      </c>
      <c r="AJ69" s="164" t="str">
        <f>IF(AND(OpenPendingCases[[#This Row],[Sale Status	]]="Open Sale",OpenPendingCases[[#This Row],[Potential Same Month]]="High"),TEXT(OpenPendingCases[[#This Row],[Request Entry Date]], "[$-en-us]mmmm"),"")</f>
        <v/>
      </c>
      <c r="AK69" s="165" t="str">
        <f>IFERROR(VALUE(SUBSTITUTE(OpenPendingCases[[#This Row],[Price]]," AED","")),"")</f>
        <v/>
      </c>
      <c r="AL69" s="165" t="str">
        <f>IFERROR(VALUE(LEFT(OpenPendingCases[[#This Row],[Price]],FIND(" ",OpenPendingCases[[#This Row],[Price]])-1)),"")</f>
        <v/>
      </c>
      <c r="AM69" s="165" t="str">
        <f>IFERROR(VALUE(_xlfn.TEXTBEFORE(OpenPendingCases[[#This Row],[Price]]," AED")),"")</f>
        <v/>
      </c>
      <c r="AN69" s="165"/>
    </row>
    <row r="70" spans="3:40" ht="18" hidden="1" x14ac:dyDescent="0.35">
      <c r="C70" s="148">
        <v>69</v>
      </c>
      <c r="D70" s="137" t="str">
        <f>IF($U70="Open Sale", IF(MAX($D$4:D69)+1=0, "", MAX($D$4:D69)+1), "")</f>
        <v/>
      </c>
      <c r="E70" s="137" t="str">
        <f>IF($U70="Pending Allocation", IF(MAX($E$4:E69)+1=0, "", MAX($E$4:E69)+1), "")</f>
        <v/>
      </c>
      <c r="F70" s="137"/>
      <c r="G70" s="137"/>
      <c r="H70" s="150"/>
      <c r="I70" s="150"/>
      <c r="J70" s="68" t="str">
        <f>IF(OpenPendingCases[[#This Row],[Timepiece Reference ]]="", "", IF(_xlfn.XLOOKUP(OpenPendingCases[[#This Row],[Timepiece Reference ]], Table1[[Timepiece Reference ]], Table1[CRC STOCK], "Not Found")="YES", "CRC Stock", "Boutique Stock"))</f>
        <v/>
      </c>
      <c r="K70" s="137" t="str">
        <f>IF(OpenPendingCases[[#This Row],[Timepiece Reference ]]="", "", IF(_xlfn.XLOOKUP(OpenPendingCases[[#This Row],[Timepiece Reference ]], Table1[[Timepiece Reference ]], Table1[CRC STOCK], "Not Found")="YES", "CRC Stock", "Boutique Stock"))</f>
        <v/>
      </c>
      <c r="L70" s="140"/>
      <c r="M70" s="141"/>
      <c r="N70" s="137"/>
      <c r="O70" s="134"/>
      <c r="P70" s="94" t="str">
        <f>IFERROR(VLOOKUP(TRIM(O70), Collection!$B$2:$D$1001, 2, FALSE), "")</f>
        <v/>
      </c>
      <c r="Q70" s="190" t="str">
        <f>IFERROR(VLOOKUP(TRIM(O70), Collection!$B$2:$D$1001, 3, FALSE), "")</f>
        <v/>
      </c>
      <c r="R70" s="153" t="str">
        <f t="shared" si="8"/>
        <v/>
      </c>
      <c r="S70" s="154"/>
      <c r="T70" s="166"/>
      <c r="U70" s="137"/>
      <c r="V70" s="137"/>
      <c r="W70" s="156" t="str">
        <f t="shared" si="12"/>
        <v/>
      </c>
      <c r="X70" s="157"/>
      <c r="Y70" s="158"/>
      <c r="Z70" s="158"/>
      <c r="AA70" s="137" t="str">
        <f t="shared" ca="1" si="13"/>
        <v/>
      </c>
      <c r="AB70" s="137" t="str">
        <f t="shared" ca="1" si="9"/>
        <v/>
      </c>
      <c r="AC70" s="160" t="str">
        <f t="shared" ca="1" si="10"/>
        <v/>
      </c>
      <c r="AD70" s="159" t="str">
        <f t="shared" ca="1" si="11"/>
        <v/>
      </c>
      <c r="AE70" s="161"/>
      <c r="AF70" s="161"/>
      <c r="AG70" s="161"/>
      <c r="AH70" s="137"/>
      <c r="AI70" s="164" t="str">
        <f t="shared" si="7"/>
        <v/>
      </c>
      <c r="AJ70" s="164" t="str">
        <f>IF(AND(OpenPendingCases[[#This Row],[Sale Status	]]="Open Sale",OpenPendingCases[[#This Row],[Potential Same Month]]="High"),TEXT(OpenPendingCases[[#This Row],[Request Entry Date]], "[$-en-us]mmmm"),"")</f>
        <v/>
      </c>
      <c r="AK70" s="165" t="str">
        <f>IFERROR(VALUE(SUBSTITUTE(OpenPendingCases[[#This Row],[Price]]," AED","")),"")</f>
        <v/>
      </c>
      <c r="AL70" s="165" t="str">
        <f>IFERROR(VALUE(LEFT(OpenPendingCases[[#This Row],[Price]],FIND(" ",OpenPendingCases[[#This Row],[Price]])-1)),"")</f>
        <v/>
      </c>
      <c r="AM70" s="165" t="str">
        <f>IFERROR(VALUE(_xlfn.TEXTBEFORE(OpenPendingCases[[#This Row],[Price]]," AED")),"")</f>
        <v/>
      </c>
      <c r="AN70" s="165"/>
    </row>
    <row r="71" spans="3:40" ht="18" hidden="1" x14ac:dyDescent="0.35">
      <c r="C71" s="148">
        <v>70</v>
      </c>
      <c r="D71" s="137" t="str">
        <f>IF($U71="Open Sale", IF(MAX($D$4:D70)+1=0, "", MAX($D$4:D70)+1), "")</f>
        <v/>
      </c>
      <c r="E71" s="137" t="str">
        <f>IF($U71="Pending Allocation", IF(MAX($E$4:E70)+1=0, "", MAX($E$4:E70)+1), "")</f>
        <v/>
      </c>
      <c r="F71" s="137"/>
      <c r="G71" s="137"/>
      <c r="H71" s="150"/>
      <c r="I71" s="150"/>
      <c r="J71" s="68" t="str">
        <f>IF(OpenPendingCases[[#This Row],[Timepiece Reference ]]="", "", IF(_xlfn.XLOOKUP(OpenPendingCases[[#This Row],[Timepiece Reference ]], Table1[[Timepiece Reference ]], Table1[CRC STOCK], "Not Found")="YES", "CRC Stock", "Boutique Stock"))</f>
        <v/>
      </c>
      <c r="K71" s="137" t="str">
        <f>IF(OpenPendingCases[[#This Row],[Timepiece Reference ]]="", "", IF(_xlfn.XLOOKUP(OpenPendingCases[[#This Row],[Timepiece Reference ]], Table1[[Timepiece Reference ]], Table1[CRC STOCK], "Not Found")="YES", "CRC Stock", "Boutique Stock"))</f>
        <v/>
      </c>
      <c r="L71" s="140"/>
      <c r="M71" s="141"/>
      <c r="N71" s="137"/>
      <c r="O71" s="134"/>
      <c r="P71" s="94" t="str">
        <f>IFERROR(VLOOKUP(TRIM(O71), Collection!$B$2:$D$1001, 2, FALSE), "")</f>
        <v/>
      </c>
      <c r="Q71" s="190" t="str">
        <f>IFERROR(VLOOKUP(TRIM(O71), Collection!$B$2:$D$1001, 3, FALSE), "")</f>
        <v/>
      </c>
      <c r="R71" s="153" t="str">
        <f t="shared" si="8"/>
        <v/>
      </c>
      <c r="S71" s="154"/>
      <c r="T71" s="166"/>
      <c r="U71" s="137"/>
      <c r="V71" s="137"/>
      <c r="W71" s="156" t="str">
        <f t="shared" si="12"/>
        <v/>
      </c>
      <c r="X71" s="157"/>
      <c r="Y71" s="158"/>
      <c r="Z71" s="158"/>
      <c r="AA71" s="137" t="str">
        <f t="shared" ca="1" si="13"/>
        <v/>
      </c>
      <c r="AB71" s="137" t="str">
        <f t="shared" ca="1" si="9"/>
        <v/>
      </c>
      <c r="AC71" s="160" t="str">
        <f t="shared" ca="1" si="10"/>
        <v/>
      </c>
      <c r="AD71" s="159" t="str">
        <f t="shared" ca="1" si="11"/>
        <v/>
      </c>
      <c r="AE71" s="161"/>
      <c r="AF71" s="161"/>
      <c r="AG71" s="161"/>
      <c r="AH71" s="137"/>
      <c r="AI71" s="164" t="str">
        <f t="shared" si="7"/>
        <v/>
      </c>
      <c r="AJ71" s="164" t="str">
        <f>IF(AND(OpenPendingCases[[#This Row],[Sale Status	]]="Open Sale",OpenPendingCases[[#This Row],[Potential Same Month]]="High"),TEXT(OpenPendingCases[[#This Row],[Request Entry Date]], "[$-en-us]mmmm"),"")</f>
        <v/>
      </c>
      <c r="AK71" s="165" t="str">
        <f>IFERROR(VALUE(SUBSTITUTE(OpenPendingCases[[#This Row],[Price]]," AED","")),"")</f>
        <v/>
      </c>
      <c r="AL71" s="165" t="str">
        <f>IFERROR(VALUE(LEFT(OpenPendingCases[[#This Row],[Price]],FIND(" ",OpenPendingCases[[#This Row],[Price]])-1)),"")</f>
        <v/>
      </c>
      <c r="AM71" s="165" t="str">
        <f>IFERROR(VALUE(_xlfn.TEXTBEFORE(OpenPendingCases[[#This Row],[Price]]," AED")),"")</f>
        <v/>
      </c>
      <c r="AN71" s="165"/>
    </row>
    <row r="72" spans="3:40" ht="18" hidden="1" x14ac:dyDescent="0.35">
      <c r="C72" s="148">
        <v>71</v>
      </c>
      <c r="D72" s="137" t="str">
        <f>IF($U72="Open Sale", IF(MAX($D$4:D71)+1=0, "", MAX($D$4:D71)+1), "")</f>
        <v/>
      </c>
      <c r="E72" s="137" t="str">
        <f>IF($U72="Pending Allocation", IF(MAX($E$4:E71)+1=0, "", MAX($E$4:E71)+1), "")</f>
        <v/>
      </c>
      <c r="F72" s="137"/>
      <c r="G72" s="137"/>
      <c r="H72" s="150"/>
      <c r="I72" s="150"/>
      <c r="J72" s="68" t="str">
        <f>IF(OpenPendingCases[[#This Row],[Timepiece Reference ]]="", "", IF(_xlfn.XLOOKUP(OpenPendingCases[[#This Row],[Timepiece Reference ]], Table1[[Timepiece Reference ]], Table1[CRC STOCK], "Not Found")="YES", "CRC Stock", "Boutique Stock"))</f>
        <v/>
      </c>
      <c r="K72" s="137" t="str">
        <f>IF(OpenPendingCases[[#This Row],[Timepiece Reference ]]="", "", IF(_xlfn.XLOOKUP(OpenPendingCases[[#This Row],[Timepiece Reference ]], Table1[[Timepiece Reference ]], Table1[CRC STOCK], "Not Found")="YES", "CRC Stock", "Boutique Stock"))</f>
        <v/>
      </c>
      <c r="L72" s="140"/>
      <c r="M72" s="141"/>
      <c r="N72" s="137"/>
      <c r="O72" s="134"/>
      <c r="P72" s="94" t="str">
        <f>IFERROR(VLOOKUP(TRIM(O72), Collection!$B$2:$D$1001, 2, FALSE), "")</f>
        <v/>
      </c>
      <c r="Q72" s="190" t="str">
        <f>IFERROR(VLOOKUP(TRIM(O72), Collection!$B$2:$D$1001, 3, FALSE), "")</f>
        <v/>
      </c>
      <c r="R72" s="153" t="str">
        <f t="shared" si="8"/>
        <v/>
      </c>
      <c r="S72" s="151"/>
      <c r="T72" s="158"/>
      <c r="U72" s="137"/>
      <c r="V72" s="137"/>
      <c r="W72" s="156" t="str">
        <f t="shared" si="12"/>
        <v/>
      </c>
      <c r="X72" s="157"/>
      <c r="Y72" s="158"/>
      <c r="Z72" s="158"/>
      <c r="AA72" s="137" t="str">
        <f t="shared" ca="1" si="13"/>
        <v/>
      </c>
      <c r="AB72" s="137" t="str">
        <f t="shared" ca="1" si="9"/>
        <v/>
      </c>
      <c r="AC72" s="160" t="str">
        <f t="shared" ca="1" si="10"/>
        <v/>
      </c>
      <c r="AD72" s="159" t="str">
        <f t="shared" ca="1" si="11"/>
        <v/>
      </c>
      <c r="AE72" s="161"/>
      <c r="AF72" s="161"/>
      <c r="AG72" s="161"/>
      <c r="AH72" s="137"/>
      <c r="AI72" s="164" t="str">
        <f t="shared" si="7"/>
        <v/>
      </c>
      <c r="AJ72" s="164" t="str">
        <f>IF(AND(OpenPendingCases[[#This Row],[Sale Status	]]="Open Sale",OpenPendingCases[[#This Row],[Potential Same Month]]="High"),TEXT(OpenPendingCases[[#This Row],[Request Entry Date]], "[$-en-us]mmmm"),"")</f>
        <v/>
      </c>
      <c r="AK72" s="165" t="str">
        <f>IFERROR(VALUE(SUBSTITUTE(OpenPendingCases[[#This Row],[Price]]," AED","")),"")</f>
        <v/>
      </c>
      <c r="AL72" s="165" t="str">
        <f>IFERROR(VALUE(LEFT(OpenPendingCases[[#This Row],[Price]],FIND(" ",OpenPendingCases[[#This Row],[Price]])-1)),"")</f>
        <v/>
      </c>
      <c r="AM72" s="165" t="str">
        <f>IFERROR(VALUE(_xlfn.TEXTBEFORE(OpenPendingCases[[#This Row],[Price]]," AED")),"")</f>
        <v/>
      </c>
      <c r="AN72" s="165"/>
    </row>
    <row r="73" spans="3:40" ht="18" hidden="1" x14ac:dyDescent="0.35">
      <c r="C73" s="148">
        <v>72</v>
      </c>
      <c r="D73" s="137" t="str">
        <f>IF($U73="Open Sale", IF(MAX($D$4:D72)+1=0, "", MAX($D$4:D72)+1), "")</f>
        <v/>
      </c>
      <c r="E73" s="137" t="str">
        <f>IF($U73="Pending Allocation", IF(MAX($E$4:E72)+1=0, "", MAX($E$4:E72)+1), "")</f>
        <v/>
      </c>
      <c r="F73" s="137"/>
      <c r="G73" s="137"/>
      <c r="H73" s="150"/>
      <c r="I73" s="150"/>
      <c r="J73" s="68" t="str">
        <f>IF(OpenPendingCases[[#This Row],[Timepiece Reference ]]="", "", IF(_xlfn.XLOOKUP(OpenPendingCases[[#This Row],[Timepiece Reference ]], Table1[[Timepiece Reference ]], Table1[CRC STOCK], "Not Found")="YES", "CRC Stock", "Boutique Stock"))</f>
        <v/>
      </c>
      <c r="K73" s="137" t="str">
        <f>IF(OpenPendingCases[[#This Row],[Timepiece Reference ]]="", "", IF(_xlfn.XLOOKUP(OpenPendingCases[[#This Row],[Timepiece Reference ]], Table1[[Timepiece Reference ]], Table1[CRC STOCK], "Not Found")="YES", "CRC Stock", "Boutique Stock"))</f>
        <v/>
      </c>
      <c r="L73" s="140"/>
      <c r="M73" s="141"/>
      <c r="N73" s="137"/>
      <c r="O73" s="134"/>
      <c r="P73" s="94" t="str">
        <f>IFERROR(VLOOKUP(TRIM(O73), Collection!$B$2:$D$1001, 2, FALSE), "")</f>
        <v/>
      </c>
      <c r="Q73" s="190" t="str">
        <f>IFERROR(VLOOKUP(TRIM(O73), Collection!$B$2:$D$1001, 3, FALSE), "")</f>
        <v/>
      </c>
      <c r="R73" s="153" t="str">
        <f t="shared" si="8"/>
        <v/>
      </c>
      <c r="S73" s="151"/>
      <c r="T73" s="158"/>
      <c r="U73" s="137"/>
      <c r="V73" s="137"/>
      <c r="W73" s="156" t="str">
        <f t="shared" si="12"/>
        <v/>
      </c>
      <c r="X73" s="157"/>
      <c r="Y73" s="158"/>
      <c r="Z73" s="158"/>
      <c r="AA73" s="137" t="str">
        <f t="shared" ca="1" si="13"/>
        <v/>
      </c>
      <c r="AB73" s="137" t="str">
        <f t="shared" ca="1" si="9"/>
        <v/>
      </c>
      <c r="AC73" s="160" t="str">
        <f t="shared" ca="1" si="10"/>
        <v/>
      </c>
      <c r="AD73" s="159" t="str">
        <f t="shared" ca="1" si="11"/>
        <v/>
      </c>
      <c r="AE73" s="161"/>
      <c r="AF73" s="161"/>
      <c r="AG73" s="161"/>
      <c r="AH73" s="137"/>
      <c r="AI73" s="164" t="str">
        <f t="shared" si="7"/>
        <v/>
      </c>
      <c r="AJ73" s="164" t="str">
        <f>IF(AND(OpenPendingCases[[#This Row],[Sale Status	]]="Open Sale",OpenPendingCases[[#This Row],[Potential Same Month]]="High"),TEXT(OpenPendingCases[[#This Row],[Request Entry Date]], "[$-en-us]mmmm"),"")</f>
        <v/>
      </c>
      <c r="AK73" s="165" t="str">
        <f>IFERROR(VALUE(SUBSTITUTE(OpenPendingCases[[#This Row],[Price]]," AED","")),"")</f>
        <v/>
      </c>
      <c r="AL73" s="165" t="str">
        <f>IFERROR(VALUE(LEFT(OpenPendingCases[[#This Row],[Price]],FIND(" ",OpenPendingCases[[#This Row],[Price]])-1)),"")</f>
        <v/>
      </c>
      <c r="AM73" s="165" t="str">
        <f>IFERROR(VALUE(_xlfn.TEXTBEFORE(OpenPendingCases[[#This Row],[Price]]," AED")),"")</f>
        <v/>
      </c>
      <c r="AN73" s="165"/>
    </row>
    <row r="74" spans="3:40" ht="18" hidden="1" x14ac:dyDescent="0.35">
      <c r="C74" s="148">
        <v>73</v>
      </c>
      <c r="D74" s="137" t="str">
        <f>IF($U74="Open Sale", IF(MAX($D$4:D73)+1=0, "", MAX($D$4:D73)+1), "")</f>
        <v/>
      </c>
      <c r="E74" s="137" t="str">
        <f>IF($U74="Pending Allocation", IF(MAX($E$4:E73)+1=0, "", MAX($E$4:E73)+1), "")</f>
        <v/>
      </c>
      <c r="F74" s="137"/>
      <c r="G74" s="137"/>
      <c r="H74" s="150"/>
      <c r="I74" s="150"/>
      <c r="J74" s="68" t="str">
        <f>IF(OpenPendingCases[[#This Row],[Timepiece Reference ]]="", "", IF(_xlfn.XLOOKUP(OpenPendingCases[[#This Row],[Timepiece Reference ]], Table1[[Timepiece Reference ]], Table1[CRC STOCK], "Not Found")="YES", "CRC Stock", "Boutique Stock"))</f>
        <v/>
      </c>
      <c r="K74" s="137" t="str">
        <f>IF(OpenPendingCases[[#This Row],[Timepiece Reference ]]="", "", IF(_xlfn.XLOOKUP(OpenPendingCases[[#This Row],[Timepiece Reference ]], Table1[[Timepiece Reference ]], Table1[CRC STOCK], "Not Found")="YES", "CRC Stock", "Boutique Stock"))</f>
        <v/>
      </c>
      <c r="L74" s="140"/>
      <c r="M74" s="141"/>
      <c r="N74" s="137"/>
      <c r="O74" s="134"/>
      <c r="P74" s="94" t="str">
        <f>IFERROR(VLOOKUP(TRIM(O74), Collection!$B$2:$D$1001, 2, FALSE), "")</f>
        <v/>
      </c>
      <c r="Q74" s="190" t="str">
        <f>IFERROR(VLOOKUP(TRIM(O74), Collection!$B$2:$D$1001, 3, FALSE), "")</f>
        <v/>
      </c>
      <c r="R74" s="153" t="str">
        <f t="shared" si="8"/>
        <v/>
      </c>
      <c r="S74" s="151"/>
      <c r="T74" s="158"/>
      <c r="U74" s="137"/>
      <c r="V74" s="137"/>
      <c r="W74" s="156" t="str">
        <f t="shared" si="12"/>
        <v/>
      </c>
      <c r="X74" s="157"/>
      <c r="Y74" s="158"/>
      <c r="Z74" s="158"/>
      <c r="AA74" s="137" t="str">
        <f t="shared" ca="1" si="13"/>
        <v/>
      </c>
      <c r="AB74" s="137" t="str">
        <f t="shared" ca="1" si="9"/>
        <v/>
      </c>
      <c r="AC74" s="160" t="str">
        <f t="shared" ca="1" si="10"/>
        <v/>
      </c>
      <c r="AD74" s="159" t="str">
        <f t="shared" ca="1" si="11"/>
        <v/>
      </c>
      <c r="AE74" s="161"/>
      <c r="AF74" s="161"/>
      <c r="AG74" s="161"/>
      <c r="AH74" s="137"/>
      <c r="AI74" s="164" t="str">
        <f t="shared" si="7"/>
        <v/>
      </c>
      <c r="AJ74" s="164" t="str">
        <f>IF(AND(OpenPendingCases[[#This Row],[Sale Status	]]="Open Sale",OpenPendingCases[[#This Row],[Potential Same Month]]="High"),TEXT(OpenPendingCases[[#This Row],[Request Entry Date]], "[$-en-us]mmmm"),"")</f>
        <v/>
      </c>
      <c r="AK74" s="165" t="str">
        <f>IFERROR(VALUE(SUBSTITUTE(OpenPendingCases[[#This Row],[Price]]," AED","")),"")</f>
        <v/>
      </c>
      <c r="AL74" s="165" t="str">
        <f>IFERROR(VALUE(LEFT(OpenPendingCases[[#This Row],[Price]],FIND(" ",OpenPendingCases[[#This Row],[Price]])-1)),"")</f>
        <v/>
      </c>
      <c r="AM74" s="165" t="str">
        <f>IFERROR(VALUE(_xlfn.TEXTBEFORE(OpenPendingCases[[#This Row],[Price]]," AED")),"")</f>
        <v/>
      </c>
      <c r="AN74" s="165"/>
    </row>
    <row r="75" spans="3:40" ht="18" hidden="1" x14ac:dyDescent="0.35">
      <c r="C75" s="148">
        <v>74</v>
      </c>
      <c r="D75" s="137" t="str">
        <f>IF($U75="Open Sale", IF(MAX($D$4:D74)+1=0, "", MAX($D$4:D74)+1), "")</f>
        <v/>
      </c>
      <c r="E75" s="137" t="str">
        <f>IF($U75="Pending Allocation", IF(MAX($E$4:E74)+1=0, "", MAX($E$4:E74)+1), "")</f>
        <v/>
      </c>
      <c r="F75" s="137"/>
      <c r="G75" s="137"/>
      <c r="H75" s="150"/>
      <c r="I75" s="150"/>
      <c r="J75" s="68" t="str">
        <f>IF(OpenPendingCases[[#This Row],[Timepiece Reference ]]="", "", IF(_xlfn.XLOOKUP(OpenPendingCases[[#This Row],[Timepiece Reference ]], Table1[[Timepiece Reference ]], Table1[CRC STOCK], "Not Found")="YES", "CRC Stock", "Boutique Stock"))</f>
        <v/>
      </c>
      <c r="K75" s="137" t="str">
        <f>IF(OpenPendingCases[[#This Row],[Timepiece Reference ]]="", "", IF(_xlfn.XLOOKUP(OpenPendingCases[[#This Row],[Timepiece Reference ]], Table1[[Timepiece Reference ]], Table1[CRC STOCK], "Not Found")="YES", "CRC Stock", "Boutique Stock"))</f>
        <v/>
      </c>
      <c r="L75" s="140"/>
      <c r="M75" s="141"/>
      <c r="N75" s="137"/>
      <c r="O75" s="134"/>
      <c r="P75" s="94" t="str">
        <f>IFERROR(VLOOKUP(TRIM(O75), Collection!$B$2:$D$1001, 2, FALSE), "")</f>
        <v/>
      </c>
      <c r="Q75" s="190" t="str">
        <f>IFERROR(VLOOKUP(TRIM(O75), Collection!$B$2:$D$1001, 3, FALSE), "")</f>
        <v/>
      </c>
      <c r="R75" s="153" t="str">
        <f t="shared" si="8"/>
        <v/>
      </c>
      <c r="S75" s="151"/>
      <c r="T75" s="158"/>
      <c r="U75" s="137"/>
      <c r="V75" s="137"/>
      <c r="W75" s="156" t="str">
        <f t="shared" si="12"/>
        <v/>
      </c>
      <c r="X75" s="157"/>
      <c r="Y75" s="158"/>
      <c r="Z75" s="158"/>
      <c r="AA75" s="137" t="str">
        <f t="shared" ca="1" si="13"/>
        <v/>
      </c>
      <c r="AB75" s="137" t="str">
        <f t="shared" ca="1" si="9"/>
        <v/>
      </c>
      <c r="AC75" s="160" t="str">
        <f t="shared" ca="1" si="10"/>
        <v/>
      </c>
      <c r="AD75" s="159" t="str">
        <f t="shared" ca="1" si="11"/>
        <v/>
      </c>
      <c r="AE75" s="161"/>
      <c r="AF75" s="161"/>
      <c r="AG75" s="161"/>
      <c r="AH75" s="137"/>
      <c r="AI75" s="164" t="str">
        <f t="shared" si="7"/>
        <v/>
      </c>
      <c r="AJ75" s="164" t="str">
        <f>IF(AND(OpenPendingCases[[#This Row],[Sale Status	]]="Open Sale",OpenPendingCases[[#This Row],[Potential Same Month]]="High"),TEXT(OpenPendingCases[[#This Row],[Request Entry Date]], "[$-en-us]mmmm"),"")</f>
        <v/>
      </c>
      <c r="AK75" s="165" t="str">
        <f>IFERROR(VALUE(SUBSTITUTE(OpenPendingCases[[#This Row],[Price]]," AED","")),"")</f>
        <v/>
      </c>
      <c r="AL75" s="165" t="str">
        <f>IFERROR(VALUE(LEFT(OpenPendingCases[[#This Row],[Price]],FIND(" ",OpenPendingCases[[#This Row],[Price]])-1)),"")</f>
        <v/>
      </c>
      <c r="AM75" s="165" t="str">
        <f>IFERROR(VALUE(_xlfn.TEXTBEFORE(OpenPendingCases[[#This Row],[Price]]," AED")),"")</f>
        <v/>
      </c>
      <c r="AN75" s="165"/>
    </row>
    <row r="76" spans="3:40" ht="18" hidden="1" x14ac:dyDescent="0.35">
      <c r="C76" s="148">
        <v>75</v>
      </c>
      <c r="D76" s="137" t="str">
        <f>IF($U76="Open Sale", IF(MAX($D$4:D75)+1=0, "", MAX($D$4:D75)+1), "")</f>
        <v/>
      </c>
      <c r="E76" s="137" t="str">
        <f>IF($U76="Pending Allocation", IF(MAX($E$4:E75)+1=0, "", MAX($E$4:E75)+1), "")</f>
        <v/>
      </c>
      <c r="F76" s="137"/>
      <c r="G76" s="137"/>
      <c r="H76" s="150"/>
      <c r="I76" s="150"/>
      <c r="J76" s="68" t="str">
        <f>IF(OpenPendingCases[[#This Row],[Timepiece Reference ]]="", "", IF(_xlfn.XLOOKUP(OpenPendingCases[[#This Row],[Timepiece Reference ]], Table1[[Timepiece Reference ]], Table1[CRC STOCK], "Not Found")="YES", "CRC Stock", "Boutique Stock"))</f>
        <v/>
      </c>
      <c r="K76" s="137" t="str">
        <f>IF(OpenPendingCases[[#This Row],[Timepiece Reference ]]="", "", IF(_xlfn.XLOOKUP(OpenPendingCases[[#This Row],[Timepiece Reference ]], Table1[[Timepiece Reference ]], Table1[CRC STOCK], "Not Found")="YES", "CRC Stock", "Boutique Stock"))</f>
        <v/>
      </c>
      <c r="L76" s="140"/>
      <c r="M76" s="141"/>
      <c r="N76" s="137"/>
      <c r="O76" s="134"/>
      <c r="P76" s="94" t="str">
        <f>IFERROR(VLOOKUP(TRIM(O76), Collection!$B$2:$D$1001, 2, FALSE), "")</f>
        <v/>
      </c>
      <c r="Q76" s="190" t="str">
        <f>IFERROR(VLOOKUP(TRIM(O76), Collection!$B$2:$D$1001, 3, FALSE), "")</f>
        <v/>
      </c>
      <c r="R76" s="153" t="str">
        <f t="shared" si="8"/>
        <v/>
      </c>
      <c r="S76" s="151"/>
      <c r="T76" s="158"/>
      <c r="U76" s="137"/>
      <c r="V76" s="137"/>
      <c r="W76" s="156" t="str">
        <f t="shared" si="12"/>
        <v/>
      </c>
      <c r="X76" s="157"/>
      <c r="Y76" s="158"/>
      <c r="Z76" s="158"/>
      <c r="AA76" s="137" t="str">
        <f t="shared" ca="1" si="13"/>
        <v/>
      </c>
      <c r="AB76" s="137" t="str">
        <f t="shared" ca="1" si="9"/>
        <v/>
      </c>
      <c r="AC76" s="160" t="str">
        <f t="shared" ca="1" si="10"/>
        <v/>
      </c>
      <c r="AD76" s="159" t="str">
        <f t="shared" ca="1" si="11"/>
        <v/>
      </c>
      <c r="AE76" s="161"/>
      <c r="AF76" s="161"/>
      <c r="AG76" s="161"/>
      <c r="AH76" s="137"/>
      <c r="AI76" s="164" t="str">
        <f t="shared" si="7"/>
        <v/>
      </c>
      <c r="AJ76" s="164" t="str">
        <f>IF(AND(OpenPendingCases[[#This Row],[Sale Status	]]="Open Sale",OpenPendingCases[[#This Row],[Potential Same Month]]="High"),TEXT(OpenPendingCases[[#This Row],[Request Entry Date]], "[$-en-us]mmmm"),"")</f>
        <v/>
      </c>
      <c r="AK76" s="165" t="str">
        <f>IFERROR(VALUE(SUBSTITUTE(OpenPendingCases[[#This Row],[Price]]," AED","")),"")</f>
        <v/>
      </c>
      <c r="AL76" s="165" t="str">
        <f>IFERROR(VALUE(LEFT(OpenPendingCases[[#This Row],[Price]],FIND(" ",OpenPendingCases[[#This Row],[Price]])-1)),"")</f>
        <v/>
      </c>
      <c r="AM76" s="165" t="str">
        <f>IFERROR(VALUE(_xlfn.TEXTBEFORE(OpenPendingCases[[#This Row],[Price]]," AED")),"")</f>
        <v/>
      </c>
      <c r="AN76" s="165"/>
    </row>
    <row r="77" spans="3:40" ht="18" hidden="1" x14ac:dyDescent="0.35">
      <c r="C77" s="148">
        <v>76</v>
      </c>
      <c r="D77" s="137" t="str">
        <f>IF($U77="Open Sale", IF(MAX($D$4:D76)+1=0, "", MAX($D$4:D76)+1), "")</f>
        <v/>
      </c>
      <c r="E77" s="137" t="str">
        <f>IF($U77="Pending Allocation", IF(MAX($E$4:E76)+1=0, "", MAX($E$4:E76)+1), "")</f>
        <v/>
      </c>
      <c r="F77" s="137"/>
      <c r="G77" s="137"/>
      <c r="H77" s="150"/>
      <c r="I77" s="150"/>
      <c r="J77" s="68" t="str">
        <f>IF(OpenPendingCases[[#This Row],[Timepiece Reference ]]="", "", IF(_xlfn.XLOOKUP(OpenPendingCases[[#This Row],[Timepiece Reference ]], Table1[[Timepiece Reference ]], Table1[CRC STOCK], "Not Found")="YES", "CRC Stock", "Boutique Stock"))</f>
        <v/>
      </c>
      <c r="K77" s="137" t="str">
        <f>IF(OpenPendingCases[[#This Row],[Timepiece Reference ]]="", "", IF(_xlfn.XLOOKUP(OpenPendingCases[[#This Row],[Timepiece Reference ]], Table1[[Timepiece Reference ]], Table1[CRC STOCK], "Not Found")="YES", "CRC Stock", "Boutique Stock"))</f>
        <v/>
      </c>
      <c r="L77" s="140"/>
      <c r="M77" s="141"/>
      <c r="N77" s="137"/>
      <c r="O77" s="134"/>
      <c r="P77" s="94" t="str">
        <f>IFERROR(VLOOKUP(TRIM(O77), Collection!$B$2:$D$1001, 2, FALSE), "")</f>
        <v/>
      </c>
      <c r="Q77" s="190" t="str">
        <f>IFERROR(VLOOKUP(TRIM(O77), Collection!$B$2:$D$1001, 3, FALSE), "")</f>
        <v/>
      </c>
      <c r="R77" s="153" t="str">
        <f t="shared" si="8"/>
        <v/>
      </c>
      <c r="S77" s="151"/>
      <c r="T77" s="158"/>
      <c r="U77" s="137"/>
      <c r="V77" s="137"/>
      <c r="W77" s="156" t="str">
        <f t="shared" si="12"/>
        <v/>
      </c>
      <c r="X77" s="157"/>
      <c r="Y77" s="158"/>
      <c r="Z77" s="158"/>
      <c r="AA77" s="137" t="str">
        <f t="shared" ca="1" si="13"/>
        <v/>
      </c>
      <c r="AB77" s="137" t="str">
        <f t="shared" ca="1" si="9"/>
        <v/>
      </c>
      <c r="AC77" s="160" t="str">
        <f t="shared" ca="1" si="10"/>
        <v/>
      </c>
      <c r="AD77" s="159" t="str">
        <f t="shared" ca="1" si="11"/>
        <v/>
      </c>
      <c r="AE77" s="161"/>
      <c r="AF77" s="161"/>
      <c r="AG77" s="161"/>
      <c r="AH77" s="137"/>
      <c r="AI77" s="164" t="str">
        <f t="shared" si="7"/>
        <v/>
      </c>
      <c r="AJ77" s="164" t="str">
        <f>IF(AND(OpenPendingCases[[#This Row],[Sale Status	]]="Open Sale",OpenPendingCases[[#This Row],[Potential Same Month]]="High"),TEXT(OpenPendingCases[[#This Row],[Request Entry Date]], "[$-en-us]mmmm"),"")</f>
        <v/>
      </c>
      <c r="AK77" s="165" t="str">
        <f>IFERROR(VALUE(SUBSTITUTE(OpenPendingCases[[#This Row],[Price]]," AED","")),"")</f>
        <v/>
      </c>
      <c r="AL77" s="165" t="str">
        <f>IFERROR(VALUE(LEFT(OpenPendingCases[[#This Row],[Price]],FIND(" ",OpenPendingCases[[#This Row],[Price]])-1)),"")</f>
        <v/>
      </c>
      <c r="AM77" s="165" t="str">
        <f>IFERROR(VALUE(_xlfn.TEXTBEFORE(OpenPendingCases[[#This Row],[Price]]," AED")),"")</f>
        <v/>
      </c>
      <c r="AN77" s="165"/>
    </row>
    <row r="78" spans="3:40" ht="18" hidden="1" x14ac:dyDescent="0.35">
      <c r="C78" s="148">
        <v>77</v>
      </c>
      <c r="D78" s="137" t="str">
        <f>IF($U78="Open Sale", IF(MAX($D$4:D77)+1=0, "", MAX($D$4:D77)+1), "")</f>
        <v/>
      </c>
      <c r="E78" s="137" t="str">
        <f>IF($U78="Pending Allocation", IF(MAX($E$4:E77)+1=0, "", MAX($E$4:E77)+1), "")</f>
        <v/>
      </c>
      <c r="F78" s="137"/>
      <c r="G78" s="137"/>
      <c r="H78" s="150"/>
      <c r="I78" s="150"/>
      <c r="J78" s="68" t="str">
        <f>IF(OpenPendingCases[[#This Row],[Timepiece Reference ]]="", "", IF(_xlfn.XLOOKUP(OpenPendingCases[[#This Row],[Timepiece Reference ]], Table1[[Timepiece Reference ]], Table1[CRC STOCK], "Not Found")="YES", "CRC Stock", "Boutique Stock"))</f>
        <v/>
      </c>
      <c r="K78" s="137" t="str">
        <f>IF(OpenPendingCases[[#This Row],[Timepiece Reference ]]="", "", IF(_xlfn.XLOOKUP(OpenPendingCases[[#This Row],[Timepiece Reference ]], Table1[[Timepiece Reference ]], Table1[CRC STOCK], "Not Found")="YES", "CRC Stock", "Boutique Stock"))</f>
        <v/>
      </c>
      <c r="L78" s="140"/>
      <c r="M78" s="141"/>
      <c r="N78" s="137"/>
      <c r="O78" s="134"/>
      <c r="P78" s="94" t="str">
        <f>IFERROR(VLOOKUP(TRIM(O78), Collection!$B$2:$D$1001, 2, FALSE), "")</f>
        <v/>
      </c>
      <c r="Q78" s="190" t="str">
        <f>IFERROR(VLOOKUP(TRIM(O78), Collection!$B$2:$D$1001, 3, FALSE), "")</f>
        <v/>
      </c>
      <c r="R78" s="153" t="str">
        <f t="shared" si="8"/>
        <v/>
      </c>
      <c r="S78" s="151"/>
      <c r="T78" s="158"/>
      <c r="U78" s="137"/>
      <c r="V78" s="137"/>
      <c r="W78" s="156" t="str">
        <f t="shared" si="12"/>
        <v/>
      </c>
      <c r="X78" s="157"/>
      <c r="Y78" s="158"/>
      <c r="Z78" s="158"/>
      <c r="AA78" s="137" t="str">
        <f t="shared" ca="1" si="13"/>
        <v/>
      </c>
      <c r="AB78" s="137" t="str">
        <f t="shared" ca="1" si="9"/>
        <v/>
      </c>
      <c r="AC78" s="160" t="str">
        <f t="shared" ca="1" si="10"/>
        <v/>
      </c>
      <c r="AD78" s="159" t="str">
        <f t="shared" ca="1" si="11"/>
        <v/>
      </c>
      <c r="AE78" s="161"/>
      <c r="AF78" s="161"/>
      <c r="AG78" s="161"/>
      <c r="AH78" s="137"/>
      <c r="AI78" s="164" t="str">
        <f t="shared" si="7"/>
        <v/>
      </c>
      <c r="AJ78" s="164" t="str">
        <f>IF(AND(OpenPendingCases[[#This Row],[Sale Status	]]="Open Sale",OpenPendingCases[[#This Row],[Potential Same Month]]="High"),TEXT(OpenPendingCases[[#This Row],[Request Entry Date]], "[$-en-us]mmmm"),"")</f>
        <v/>
      </c>
      <c r="AK78" s="165" t="str">
        <f>IFERROR(VALUE(SUBSTITUTE(OpenPendingCases[[#This Row],[Price]]," AED","")),"")</f>
        <v/>
      </c>
      <c r="AL78" s="165" t="str">
        <f>IFERROR(VALUE(LEFT(OpenPendingCases[[#This Row],[Price]],FIND(" ",OpenPendingCases[[#This Row],[Price]])-1)),"")</f>
        <v/>
      </c>
      <c r="AM78" s="165" t="str">
        <f>IFERROR(VALUE(_xlfn.TEXTBEFORE(OpenPendingCases[[#This Row],[Price]]," AED")),"")</f>
        <v/>
      </c>
      <c r="AN78" s="165"/>
    </row>
    <row r="79" spans="3:40" ht="18" hidden="1" x14ac:dyDescent="0.35">
      <c r="C79" s="148">
        <v>78</v>
      </c>
      <c r="D79" s="137" t="str">
        <f>IF($U79="Open Sale", IF(MAX($D$4:D78)+1=0, "", MAX($D$4:D78)+1), "")</f>
        <v/>
      </c>
      <c r="E79" s="137" t="str">
        <f>IF($U79="Pending Allocation", IF(MAX($E$4:E78)+1=0, "", MAX($E$4:E78)+1), "")</f>
        <v/>
      </c>
      <c r="F79" s="137"/>
      <c r="G79" s="137"/>
      <c r="H79" s="150"/>
      <c r="I79" s="150"/>
      <c r="J79" s="68" t="str">
        <f>IF(OpenPendingCases[[#This Row],[Timepiece Reference ]]="", "", IF(_xlfn.XLOOKUP(OpenPendingCases[[#This Row],[Timepiece Reference ]], Table1[[Timepiece Reference ]], Table1[CRC STOCK], "Not Found")="YES", "CRC Stock", "Boutique Stock"))</f>
        <v/>
      </c>
      <c r="K79" s="137" t="str">
        <f>IF(OpenPendingCases[[#This Row],[Timepiece Reference ]]="", "", IF(_xlfn.XLOOKUP(OpenPendingCases[[#This Row],[Timepiece Reference ]], Table1[[Timepiece Reference ]], Table1[CRC STOCK], "Not Found")="YES", "CRC Stock", "Boutique Stock"))</f>
        <v/>
      </c>
      <c r="L79" s="140"/>
      <c r="M79" s="141"/>
      <c r="N79" s="137"/>
      <c r="O79" s="134"/>
      <c r="P79" s="94" t="str">
        <f>IFERROR(VLOOKUP(TRIM(O79), Collection!$B$2:$D$1001, 2, FALSE), "")</f>
        <v/>
      </c>
      <c r="Q79" s="190" t="str">
        <f>IFERROR(VLOOKUP(TRIM(O79), Collection!$B$2:$D$1001, 3, FALSE), "")</f>
        <v/>
      </c>
      <c r="R79" s="153" t="str">
        <f t="shared" si="8"/>
        <v/>
      </c>
      <c r="S79" s="151"/>
      <c r="T79" s="158"/>
      <c r="U79" s="137"/>
      <c r="V79" s="137"/>
      <c r="W79" s="156" t="str">
        <f t="shared" si="12"/>
        <v/>
      </c>
      <c r="X79" s="157"/>
      <c r="Y79" s="158"/>
      <c r="Z79" s="158"/>
      <c r="AA79" s="137" t="str">
        <f t="shared" ca="1" si="13"/>
        <v/>
      </c>
      <c r="AB79" s="137" t="str">
        <f t="shared" ca="1" si="9"/>
        <v/>
      </c>
      <c r="AC79" s="160" t="str">
        <f t="shared" ca="1" si="10"/>
        <v/>
      </c>
      <c r="AD79" s="159" t="str">
        <f t="shared" ca="1" si="11"/>
        <v/>
      </c>
      <c r="AE79" s="161"/>
      <c r="AF79" s="161"/>
      <c r="AG79" s="161"/>
      <c r="AH79" s="137"/>
      <c r="AI79" s="164" t="str">
        <f t="shared" si="7"/>
        <v/>
      </c>
      <c r="AJ79" s="164" t="str">
        <f>IF(AND(OpenPendingCases[[#This Row],[Sale Status	]]="Open Sale",OpenPendingCases[[#This Row],[Potential Same Month]]="High"),TEXT(OpenPendingCases[[#This Row],[Request Entry Date]], "[$-en-us]mmmm"),"")</f>
        <v/>
      </c>
      <c r="AK79" s="165" t="str">
        <f>IFERROR(VALUE(SUBSTITUTE(OpenPendingCases[[#This Row],[Price]]," AED","")),"")</f>
        <v/>
      </c>
      <c r="AL79" s="165" t="str">
        <f>IFERROR(VALUE(LEFT(OpenPendingCases[[#This Row],[Price]],FIND(" ",OpenPendingCases[[#This Row],[Price]])-1)),"")</f>
        <v/>
      </c>
      <c r="AM79" s="165" t="str">
        <f>IFERROR(VALUE(_xlfn.TEXTBEFORE(OpenPendingCases[[#This Row],[Price]]," AED")),"")</f>
        <v/>
      </c>
      <c r="AN79" s="165"/>
    </row>
    <row r="80" spans="3:40" ht="18" hidden="1" x14ac:dyDescent="0.35">
      <c r="C80" s="148">
        <v>79</v>
      </c>
      <c r="D80" s="137" t="str">
        <f>IF($U80="Open Sale", IF(MAX($D$4:D79)+1=0, "", MAX($D$4:D79)+1), "")</f>
        <v/>
      </c>
      <c r="E80" s="137" t="str">
        <f>IF($U80="Pending Allocation", IF(MAX($E$4:E79)+1=0, "", MAX($E$4:E79)+1), "")</f>
        <v/>
      </c>
      <c r="F80" s="137"/>
      <c r="G80" s="137"/>
      <c r="H80" s="150"/>
      <c r="I80" s="150"/>
      <c r="J80" s="68" t="str">
        <f>IF(OpenPendingCases[[#This Row],[Timepiece Reference ]]="", "", IF(_xlfn.XLOOKUP(OpenPendingCases[[#This Row],[Timepiece Reference ]], Table1[[Timepiece Reference ]], Table1[CRC STOCK], "Not Found")="YES", "CRC Stock", "Boutique Stock"))</f>
        <v/>
      </c>
      <c r="K80" s="137" t="str">
        <f>IF(OpenPendingCases[[#This Row],[Timepiece Reference ]]="", "", IF(_xlfn.XLOOKUP(OpenPendingCases[[#This Row],[Timepiece Reference ]], Table1[[Timepiece Reference ]], Table1[CRC STOCK], "Not Found")="YES", "CRC Stock", "Boutique Stock"))</f>
        <v/>
      </c>
      <c r="L80" s="140"/>
      <c r="M80" s="141"/>
      <c r="N80" s="137"/>
      <c r="O80" s="134"/>
      <c r="P80" s="94" t="str">
        <f>IFERROR(VLOOKUP(TRIM(O80), Collection!$B$2:$D$1001, 2, FALSE), "")</f>
        <v/>
      </c>
      <c r="Q80" s="190" t="str">
        <f>IFERROR(VLOOKUP(TRIM(O80), Collection!$B$2:$D$1001, 3, FALSE), "")</f>
        <v/>
      </c>
      <c r="R80" s="153" t="str">
        <f t="shared" si="8"/>
        <v/>
      </c>
      <c r="S80" s="151"/>
      <c r="T80" s="158"/>
      <c r="U80" s="137"/>
      <c r="V80" s="137"/>
      <c r="W80" s="156" t="str">
        <f t="shared" si="12"/>
        <v/>
      </c>
      <c r="X80" s="157"/>
      <c r="Y80" s="158"/>
      <c r="Z80" s="158"/>
      <c r="AA80" s="137" t="str">
        <f t="shared" ca="1" si="13"/>
        <v/>
      </c>
      <c r="AB80" s="137" t="str">
        <f t="shared" ca="1" si="9"/>
        <v/>
      </c>
      <c r="AC80" s="160" t="str">
        <f t="shared" ca="1" si="10"/>
        <v/>
      </c>
      <c r="AD80" s="159" t="str">
        <f t="shared" ca="1" si="11"/>
        <v/>
      </c>
      <c r="AE80" s="161"/>
      <c r="AF80" s="161"/>
      <c r="AG80" s="161"/>
      <c r="AH80" s="137"/>
      <c r="AI80" s="164" t="str">
        <f t="shared" si="7"/>
        <v/>
      </c>
      <c r="AJ80" s="164" t="str">
        <f>IF(AND(OpenPendingCases[[#This Row],[Sale Status	]]="Open Sale",OpenPendingCases[[#This Row],[Potential Same Month]]="High"),TEXT(OpenPendingCases[[#This Row],[Request Entry Date]], "[$-en-us]mmmm"),"")</f>
        <v/>
      </c>
      <c r="AK80" s="165" t="str">
        <f>IFERROR(VALUE(SUBSTITUTE(OpenPendingCases[[#This Row],[Price]]," AED","")),"")</f>
        <v/>
      </c>
      <c r="AL80" s="165" t="str">
        <f>IFERROR(VALUE(LEFT(OpenPendingCases[[#This Row],[Price]],FIND(" ",OpenPendingCases[[#This Row],[Price]])-1)),"")</f>
        <v/>
      </c>
      <c r="AM80" s="165" t="str">
        <f>IFERROR(VALUE(_xlfn.TEXTBEFORE(OpenPendingCases[[#This Row],[Price]]," AED")),"")</f>
        <v/>
      </c>
      <c r="AN80" s="165"/>
    </row>
    <row r="81" spans="3:40" ht="18" hidden="1" x14ac:dyDescent="0.35">
      <c r="C81" s="148">
        <v>80</v>
      </c>
      <c r="D81" s="137" t="str">
        <f>IF($U81="Open Sale", IF(MAX($D$4:D80)+1=0, "", MAX($D$4:D80)+1), "")</f>
        <v/>
      </c>
      <c r="E81" s="137" t="str">
        <f>IF($U81="Pending Allocation", IF(MAX($E$4:E80)+1=0, "", MAX($E$4:E80)+1), "")</f>
        <v/>
      </c>
      <c r="F81" s="137"/>
      <c r="G81" s="137"/>
      <c r="H81" s="150"/>
      <c r="I81" s="150"/>
      <c r="J81" s="68" t="str">
        <f>IF(OpenPendingCases[[#This Row],[Timepiece Reference ]]="", "", IF(_xlfn.XLOOKUP(OpenPendingCases[[#This Row],[Timepiece Reference ]], Table1[[Timepiece Reference ]], Table1[CRC STOCK], "Not Found")="YES", "CRC Stock", "Boutique Stock"))</f>
        <v/>
      </c>
      <c r="K81" s="137" t="str">
        <f>IF(OpenPendingCases[[#This Row],[Timepiece Reference ]]="", "", IF(_xlfn.XLOOKUP(OpenPendingCases[[#This Row],[Timepiece Reference ]], Table1[[Timepiece Reference ]], Table1[CRC STOCK], "Not Found")="YES", "CRC Stock", "Boutique Stock"))</f>
        <v/>
      </c>
      <c r="L81" s="140"/>
      <c r="M81" s="141"/>
      <c r="N81" s="137"/>
      <c r="O81" s="134"/>
      <c r="P81" s="94" t="str">
        <f>IFERROR(VLOOKUP(TRIM(O81), Collection!$B$2:$D$1001, 2, FALSE), "")</f>
        <v/>
      </c>
      <c r="Q81" s="190" t="str">
        <f>IFERROR(VLOOKUP(TRIM(O81), Collection!$B$2:$D$1001, 3, FALSE), "")</f>
        <v/>
      </c>
      <c r="R81" s="153" t="str">
        <f t="shared" si="8"/>
        <v/>
      </c>
      <c r="S81" s="151"/>
      <c r="T81" s="158"/>
      <c r="U81" s="137"/>
      <c r="V81" s="137"/>
      <c r="W81" s="156" t="str">
        <f t="shared" si="12"/>
        <v/>
      </c>
      <c r="X81" s="157"/>
      <c r="Y81" s="158"/>
      <c r="Z81" s="158"/>
      <c r="AA81" s="137" t="str">
        <f t="shared" ca="1" si="13"/>
        <v/>
      </c>
      <c r="AB81" s="137" t="str">
        <f t="shared" ca="1" si="9"/>
        <v/>
      </c>
      <c r="AC81" s="160" t="str">
        <f t="shared" ca="1" si="10"/>
        <v/>
      </c>
      <c r="AD81" s="159" t="str">
        <f t="shared" ca="1" si="11"/>
        <v/>
      </c>
      <c r="AE81" s="161"/>
      <c r="AF81" s="161"/>
      <c r="AG81" s="161"/>
      <c r="AH81" s="137"/>
      <c r="AI81" s="164" t="str">
        <f t="shared" si="7"/>
        <v/>
      </c>
      <c r="AJ81" s="164" t="str">
        <f>IF(AND(OpenPendingCases[[#This Row],[Sale Status	]]="Open Sale",OpenPendingCases[[#This Row],[Potential Same Month]]="High"),TEXT(OpenPendingCases[[#This Row],[Request Entry Date]], "[$-en-us]mmmm"),"")</f>
        <v/>
      </c>
      <c r="AK81" s="165" t="str">
        <f>IFERROR(VALUE(SUBSTITUTE(OpenPendingCases[[#This Row],[Price]]," AED","")),"")</f>
        <v/>
      </c>
      <c r="AL81" s="165" t="str">
        <f>IFERROR(VALUE(LEFT(OpenPendingCases[[#This Row],[Price]],FIND(" ",OpenPendingCases[[#This Row],[Price]])-1)),"")</f>
        <v/>
      </c>
      <c r="AM81" s="165" t="str">
        <f>IFERROR(VALUE(_xlfn.TEXTBEFORE(OpenPendingCases[[#This Row],[Price]]," AED")),"")</f>
        <v/>
      </c>
      <c r="AN81" s="165"/>
    </row>
    <row r="82" spans="3:40" ht="18" hidden="1" x14ac:dyDescent="0.35">
      <c r="C82" s="148">
        <v>81</v>
      </c>
      <c r="D82" s="137" t="str">
        <f>IF($U82="Open Sale", IF(MAX($D$4:D81)+1=0, "", MAX($D$4:D81)+1), "")</f>
        <v/>
      </c>
      <c r="E82" s="137" t="str">
        <f>IF($U82="Pending Allocation", IF(MAX($E$4:E81)+1=0, "", MAX($E$4:E81)+1), "")</f>
        <v/>
      </c>
      <c r="F82" s="137"/>
      <c r="G82" s="137"/>
      <c r="H82" s="150"/>
      <c r="I82" s="150"/>
      <c r="J82" s="68" t="str">
        <f>IF(OpenPendingCases[[#This Row],[Timepiece Reference ]]="", "", IF(_xlfn.XLOOKUP(OpenPendingCases[[#This Row],[Timepiece Reference ]], Table1[[Timepiece Reference ]], Table1[CRC STOCK], "Not Found")="YES", "CRC Stock", "Boutique Stock"))</f>
        <v/>
      </c>
      <c r="K82" s="137" t="str">
        <f>IF(OpenPendingCases[[#This Row],[Timepiece Reference ]]="", "", IF(_xlfn.XLOOKUP(OpenPendingCases[[#This Row],[Timepiece Reference ]], Table1[[Timepiece Reference ]], Table1[CRC STOCK], "Not Found")="YES", "CRC Stock", "Boutique Stock"))</f>
        <v/>
      </c>
      <c r="L82" s="140"/>
      <c r="M82" s="141"/>
      <c r="N82" s="137"/>
      <c r="O82" s="134"/>
      <c r="P82" s="94" t="str">
        <f>IFERROR(VLOOKUP(TRIM(O82), Collection!$B$2:$D$1001, 2, FALSE), "")</f>
        <v/>
      </c>
      <c r="Q82" s="190" t="str">
        <f>IFERROR(VLOOKUP(TRIM(O82), Collection!$B$2:$D$1001, 3, FALSE), "")</f>
        <v/>
      </c>
      <c r="R82" s="153" t="str">
        <f t="shared" si="8"/>
        <v/>
      </c>
      <c r="S82" s="151"/>
      <c r="T82" s="158"/>
      <c r="U82" s="137"/>
      <c r="V82" s="137"/>
      <c r="W82" s="156" t="str">
        <f t="shared" si="12"/>
        <v/>
      </c>
      <c r="X82" s="157"/>
      <c r="Y82" s="158"/>
      <c r="Z82" s="158"/>
      <c r="AA82" s="137" t="str">
        <f t="shared" ca="1" si="13"/>
        <v/>
      </c>
      <c r="AB82" s="137" t="str">
        <f t="shared" ca="1" si="9"/>
        <v/>
      </c>
      <c r="AC82" s="160" t="str">
        <f t="shared" ca="1" si="10"/>
        <v/>
      </c>
      <c r="AD82" s="159" t="str">
        <f t="shared" ca="1" si="11"/>
        <v/>
      </c>
      <c r="AE82" s="161"/>
      <c r="AF82" s="161"/>
      <c r="AG82" s="161"/>
      <c r="AH82" s="137"/>
      <c r="AI82" s="164" t="str">
        <f t="shared" si="7"/>
        <v/>
      </c>
      <c r="AJ82" s="164" t="str">
        <f>IF(AND(OpenPendingCases[[#This Row],[Sale Status	]]="Open Sale",OpenPendingCases[[#This Row],[Potential Same Month]]="High"),TEXT(OpenPendingCases[[#This Row],[Request Entry Date]], "[$-en-us]mmmm"),"")</f>
        <v/>
      </c>
      <c r="AK82" s="165" t="str">
        <f>IFERROR(VALUE(SUBSTITUTE(OpenPendingCases[[#This Row],[Price]]," AED","")),"")</f>
        <v/>
      </c>
      <c r="AL82" s="165" t="str">
        <f>IFERROR(VALUE(LEFT(OpenPendingCases[[#This Row],[Price]],FIND(" ",OpenPendingCases[[#This Row],[Price]])-1)),"")</f>
        <v/>
      </c>
      <c r="AM82" s="165" t="str">
        <f>IFERROR(VALUE(_xlfn.TEXTBEFORE(OpenPendingCases[[#This Row],[Price]]," AED")),"")</f>
        <v/>
      </c>
      <c r="AN82" s="165"/>
    </row>
    <row r="83" spans="3:40" ht="18" hidden="1" x14ac:dyDescent="0.35">
      <c r="C83" s="148">
        <v>82</v>
      </c>
      <c r="D83" s="137" t="str">
        <f>IF($U83="Open Sale", IF(MAX($D$4:D82)+1=0, "", MAX($D$4:D82)+1), "")</f>
        <v/>
      </c>
      <c r="E83" s="137" t="str">
        <f>IF($U83="Pending Allocation", IF(MAX($E$4:E82)+1=0, "", MAX($E$4:E82)+1), "")</f>
        <v/>
      </c>
      <c r="F83" s="137"/>
      <c r="G83" s="137"/>
      <c r="H83" s="150"/>
      <c r="I83" s="150"/>
      <c r="J83" s="68" t="str">
        <f>IF(OpenPendingCases[[#This Row],[Timepiece Reference ]]="", "", IF(_xlfn.XLOOKUP(OpenPendingCases[[#This Row],[Timepiece Reference ]], Table1[[Timepiece Reference ]], Table1[CRC STOCK], "Not Found")="YES", "CRC Stock", "Boutique Stock"))</f>
        <v/>
      </c>
      <c r="K83" s="137" t="str">
        <f>IF(OpenPendingCases[[#This Row],[Timepiece Reference ]]="", "", IF(_xlfn.XLOOKUP(OpenPendingCases[[#This Row],[Timepiece Reference ]], Table1[[Timepiece Reference ]], Table1[CRC STOCK], "Not Found")="YES", "CRC Stock", "Boutique Stock"))</f>
        <v/>
      </c>
      <c r="L83" s="140"/>
      <c r="M83" s="141"/>
      <c r="N83" s="137"/>
      <c r="O83" s="134"/>
      <c r="P83" s="94" t="str">
        <f>IFERROR(VLOOKUP(TRIM(O83), Collection!$B$2:$D$1001, 2, FALSE), "")</f>
        <v/>
      </c>
      <c r="Q83" s="190" t="str">
        <f>IFERROR(VLOOKUP(TRIM(O83), Collection!$B$2:$D$1001, 3, FALSE), "")</f>
        <v/>
      </c>
      <c r="R83" s="153" t="str">
        <f t="shared" si="8"/>
        <v/>
      </c>
      <c r="S83" s="151"/>
      <c r="T83" s="158"/>
      <c r="U83" s="137"/>
      <c r="V83" s="137"/>
      <c r="W83" s="156" t="str">
        <f t="shared" si="12"/>
        <v/>
      </c>
      <c r="X83" s="157"/>
      <c r="Y83" s="158"/>
      <c r="Z83" s="158"/>
      <c r="AA83" s="137" t="str">
        <f t="shared" ca="1" si="13"/>
        <v/>
      </c>
      <c r="AB83" s="137" t="str">
        <f t="shared" ca="1" si="9"/>
        <v/>
      </c>
      <c r="AC83" s="160" t="str">
        <f t="shared" ca="1" si="10"/>
        <v/>
      </c>
      <c r="AD83" s="159" t="str">
        <f t="shared" ca="1" si="11"/>
        <v/>
      </c>
      <c r="AE83" s="161"/>
      <c r="AF83" s="161"/>
      <c r="AG83" s="161"/>
      <c r="AH83" s="137"/>
      <c r="AI83" s="164" t="str">
        <f t="shared" si="7"/>
        <v/>
      </c>
      <c r="AJ83" s="164" t="str">
        <f>IF(AND(OpenPendingCases[[#This Row],[Sale Status	]]="Open Sale",OpenPendingCases[[#This Row],[Potential Same Month]]="High"),TEXT(OpenPendingCases[[#This Row],[Request Entry Date]], "[$-en-us]mmmm"),"")</f>
        <v/>
      </c>
      <c r="AK83" s="165" t="str">
        <f>IFERROR(VALUE(SUBSTITUTE(OpenPendingCases[[#This Row],[Price]]," AED","")),"")</f>
        <v/>
      </c>
      <c r="AL83" s="165" t="str">
        <f>IFERROR(VALUE(LEFT(OpenPendingCases[[#This Row],[Price]],FIND(" ",OpenPendingCases[[#This Row],[Price]])-1)),"")</f>
        <v/>
      </c>
      <c r="AM83" s="165" t="str">
        <f>IFERROR(VALUE(_xlfn.TEXTBEFORE(OpenPendingCases[[#This Row],[Price]]," AED")),"")</f>
        <v/>
      </c>
      <c r="AN83" s="165"/>
    </row>
    <row r="84" spans="3:40" ht="18" hidden="1" x14ac:dyDescent="0.35">
      <c r="C84" s="148">
        <v>83</v>
      </c>
      <c r="D84" s="137" t="str">
        <f>IF($U84="Open Sale", IF(MAX($D$4:D83)+1=0, "", MAX($D$4:D83)+1), "")</f>
        <v/>
      </c>
      <c r="E84" s="137" t="str">
        <f>IF($U84="Pending Allocation", IF(MAX($E$4:E83)+1=0, "", MAX($E$4:E83)+1), "")</f>
        <v/>
      </c>
      <c r="F84" s="137"/>
      <c r="G84" s="137"/>
      <c r="H84" s="150"/>
      <c r="I84" s="150"/>
      <c r="J84" s="68" t="str">
        <f>IF(OpenPendingCases[[#This Row],[Timepiece Reference ]]="", "", IF(_xlfn.XLOOKUP(OpenPendingCases[[#This Row],[Timepiece Reference ]], Table1[[Timepiece Reference ]], Table1[CRC STOCK], "Not Found")="YES", "CRC Stock", "Boutique Stock"))</f>
        <v/>
      </c>
      <c r="K84" s="137" t="str">
        <f>IF(OpenPendingCases[[#This Row],[Timepiece Reference ]]="", "", IF(_xlfn.XLOOKUP(OpenPendingCases[[#This Row],[Timepiece Reference ]], Table1[[Timepiece Reference ]], Table1[CRC STOCK], "Not Found")="YES", "CRC Stock", "Boutique Stock"))</f>
        <v/>
      </c>
      <c r="L84" s="140"/>
      <c r="M84" s="141"/>
      <c r="N84" s="137"/>
      <c r="O84" s="134"/>
      <c r="P84" s="94" t="str">
        <f>IFERROR(VLOOKUP(TRIM(O84), Collection!$B$2:$D$1001, 2, FALSE), "")</f>
        <v/>
      </c>
      <c r="Q84" s="190" t="str">
        <f>IFERROR(VLOOKUP(TRIM(O84), Collection!$B$2:$D$1001, 3, FALSE), "")</f>
        <v/>
      </c>
      <c r="R84" s="153" t="str">
        <f t="shared" si="8"/>
        <v/>
      </c>
      <c r="S84" s="151"/>
      <c r="T84" s="158"/>
      <c r="U84" s="137"/>
      <c r="V84" s="137"/>
      <c r="W84" s="156" t="str">
        <f t="shared" si="12"/>
        <v/>
      </c>
      <c r="X84" s="157"/>
      <c r="Y84" s="158"/>
      <c r="Z84" s="158"/>
      <c r="AA84" s="137" t="str">
        <f t="shared" ca="1" si="13"/>
        <v/>
      </c>
      <c r="AB84" s="137" t="str">
        <f t="shared" ca="1" si="9"/>
        <v/>
      </c>
      <c r="AC84" s="160" t="str">
        <f t="shared" ca="1" si="10"/>
        <v/>
      </c>
      <c r="AD84" s="159" t="str">
        <f t="shared" ca="1" si="11"/>
        <v/>
      </c>
      <c r="AE84" s="161"/>
      <c r="AF84" s="161"/>
      <c r="AG84" s="161"/>
      <c r="AH84" s="137"/>
      <c r="AI84" s="164" t="str">
        <f t="shared" si="7"/>
        <v/>
      </c>
      <c r="AJ84" s="164" t="str">
        <f>IF(AND(OpenPendingCases[[#This Row],[Sale Status	]]="Open Sale",OpenPendingCases[[#This Row],[Potential Same Month]]="High"),TEXT(OpenPendingCases[[#This Row],[Request Entry Date]], "[$-en-us]mmmm"),"")</f>
        <v/>
      </c>
      <c r="AK84" s="165" t="str">
        <f>IFERROR(VALUE(SUBSTITUTE(OpenPendingCases[[#This Row],[Price]]," AED","")),"")</f>
        <v/>
      </c>
      <c r="AL84" s="165" t="str">
        <f>IFERROR(VALUE(LEFT(OpenPendingCases[[#This Row],[Price]],FIND(" ",OpenPendingCases[[#This Row],[Price]])-1)),"")</f>
        <v/>
      </c>
      <c r="AM84" s="165" t="str">
        <f>IFERROR(VALUE(_xlfn.TEXTBEFORE(OpenPendingCases[[#This Row],[Price]]," AED")),"")</f>
        <v/>
      </c>
      <c r="AN84" s="165"/>
    </row>
    <row r="85" spans="3:40" ht="18" hidden="1" x14ac:dyDescent="0.35">
      <c r="C85" s="148">
        <v>84</v>
      </c>
      <c r="D85" s="137" t="str">
        <f>IF($U85="Open Sale", IF(MAX($D$4:D84)+1=0, "", MAX($D$4:D84)+1), "")</f>
        <v/>
      </c>
      <c r="E85" s="137" t="str">
        <f>IF($U85="Pending Allocation", IF(MAX($E$4:E84)+1=0, "", MAX($E$4:E84)+1), "")</f>
        <v/>
      </c>
      <c r="F85" s="137"/>
      <c r="G85" s="137"/>
      <c r="H85" s="150"/>
      <c r="I85" s="150"/>
      <c r="J85" s="68" t="str">
        <f>IF(OpenPendingCases[[#This Row],[Timepiece Reference ]]="", "", IF(_xlfn.XLOOKUP(OpenPendingCases[[#This Row],[Timepiece Reference ]], Table1[[Timepiece Reference ]], Table1[CRC STOCK], "Not Found")="YES", "CRC Stock", "Boutique Stock"))</f>
        <v/>
      </c>
      <c r="K85" s="137" t="str">
        <f>IF(OpenPendingCases[[#This Row],[Timepiece Reference ]]="", "", IF(_xlfn.XLOOKUP(OpenPendingCases[[#This Row],[Timepiece Reference ]], Table1[[Timepiece Reference ]], Table1[CRC STOCK], "Not Found")="YES", "CRC Stock", "Boutique Stock"))</f>
        <v/>
      </c>
      <c r="L85" s="140"/>
      <c r="M85" s="141"/>
      <c r="N85" s="137"/>
      <c r="O85" s="134"/>
      <c r="P85" s="94" t="str">
        <f>IFERROR(VLOOKUP(TRIM(O85), Collection!$B$2:$D$1001, 2, FALSE), "")</f>
        <v/>
      </c>
      <c r="Q85" s="190" t="str">
        <f>IFERROR(VLOOKUP(TRIM(O85), Collection!$B$2:$D$1001, 3, FALSE), "")</f>
        <v/>
      </c>
      <c r="R85" s="153" t="str">
        <f t="shared" si="8"/>
        <v/>
      </c>
      <c r="S85" s="151"/>
      <c r="T85" s="158"/>
      <c r="U85" s="137"/>
      <c r="V85" s="137"/>
      <c r="W85" s="156" t="str">
        <f t="shared" si="12"/>
        <v/>
      </c>
      <c r="X85" s="157"/>
      <c r="Y85" s="158"/>
      <c r="Z85" s="158"/>
      <c r="AA85" s="137" t="str">
        <f t="shared" ca="1" si="13"/>
        <v/>
      </c>
      <c r="AB85" s="137" t="str">
        <f t="shared" ca="1" si="9"/>
        <v/>
      </c>
      <c r="AC85" s="160" t="str">
        <f t="shared" ca="1" si="10"/>
        <v/>
      </c>
      <c r="AD85" s="159" t="str">
        <f t="shared" ca="1" si="11"/>
        <v/>
      </c>
      <c r="AE85" s="161"/>
      <c r="AF85" s="161"/>
      <c r="AG85" s="161"/>
      <c r="AH85" s="137"/>
      <c r="AI85" s="164" t="str">
        <f t="shared" si="7"/>
        <v/>
      </c>
      <c r="AJ85" s="164" t="str">
        <f>IF(AND(OpenPendingCases[[#This Row],[Sale Status	]]="Open Sale",OpenPendingCases[[#This Row],[Potential Same Month]]="High"),TEXT(OpenPendingCases[[#This Row],[Request Entry Date]], "[$-en-us]mmmm"),"")</f>
        <v/>
      </c>
      <c r="AK85" s="165" t="str">
        <f>IFERROR(VALUE(SUBSTITUTE(OpenPendingCases[[#This Row],[Price]]," AED","")),"")</f>
        <v/>
      </c>
      <c r="AL85" s="165" t="str">
        <f>IFERROR(VALUE(LEFT(OpenPendingCases[[#This Row],[Price]],FIND(" ",OpenPendingCases[[#This Row],[Price]])-1)),"")</f>
        <v/>
      </c>
      <c r="AM85" s="165" t="str">
        <f>IFERROR(VALUE(_xlfn.TEXTBEFORE(OpenPendingCases[[#This Row],[Price]]," AED")),"")</f>
        <v/>
      </c>
      <c r="AN85" s="165"/>
    </row>
    <row r="86" spans="3:40" ht="18" hidden="1" x14ac:dyDescent="0.35">
      <c r="C86" s="148">
        <v>85</v>
      </c>
      <c r="D86" s="137" t="str">
        <f>IF($U86="Open Sale", IF(MAX($D$4:D85)+1=0, "", MAX($D$4:D85)+1), "")</f>
        <v/>
      </c>
      <c r="E86" s="137" t="str">
        <f>IF($U86="Pending Allocation", IF(MAX($E$4:E85)+1=0, "", MAX($E$4:E85)+1), "")</f>
        <v/>
      </c>
      <c r="F86" s="137"/>
      <c r="G86" s="137"/>
      <c r="H86" s="150"/>
      <c r="I86" s="150"/>
      <c r="J86" s="68" t="str">
        <f>IF(OpenPendingCases[[#This Row],[Timepiece Reference ]]="", "", IF(_xlfn.XLOOKUP(OpenPendingCases[[#This Row],[Timepiece Reference ]], Table1[[Timepiece Reference ]], Table1[CRC STOCK], "Not Found")="YES", "CRC Stock", "Boutique Stock"))</f>
        <v/>
      </c>
      <c r="K86" s="137" t="str">
        <f>IF(OpenPendingCases[[#This Row],[Timepiece Reference ]]="", "", IF(_xlfn.XLOOKUP(OpenPendingCases[[#This Row],[Timepiece Reference ]], Table1[[Timepiece Reference ]], Table1[CRC STOCK], "Not Found")="YES", "CRC Stock", "Boutique Stock"))</f>
        <v/>
      </c>
      <c r="L86" s="140"/>
      <c r="M86" s="141"/>
      <c r="N86" s="137"/>
      <c r="O86" s="134"/>
      <c r="P86" s="94" t="str">
        <f>IFERROR(VLOOKUP(TRIM(O86), Collection!$B$2:$D$1001, 2, FALSE), "")</f>
        <v/>
      </c>
      <c r="Q86" s="190" t="str">
        <f>IFERROR(VLOOKUP(TRIM(O86), Collection!$B$2:$D$1001, 3, FALSE), "")</f>
        <v/>
      </c>
      <c r="R86" s="153" t="str">
        <f t="shared" si="8"/>
        <v/>
      </c>
      <c r="S86" s="151"/>
      <c r="T86" s="158"/>
      <c r="U86" s="137"/>
      <c r="V86" s="137"/>
      <c r="W86" s="156" t="str">
        <f t="shared" si="12"/>
        <v/>
      </c>
      <c r="X86" s="157"/>
      <c r="Y86" s="158"/>
      <c r="Z86" s="158"/>
      <c r="AA86" s="137" t="str">
        <f t="shared" ca="1" si="13"/>
        <v/>
      </c>
      <c r="AB86" s="137" t="str">
        <f t="shared" ca="1" si="9"/>
        <v/>
      </c>
      <c r="AC86" s="160" t="str">
        <f t="shared" ca="1" si="10"/>
        <v/>
      </c>
      <c r="AD86" s="159" t="str">
        <f t="shared" ca="1" si="11"/>
        <v/>
      </c>
      <c r="AE86" s="161"/>
      <c r="AF86" s="161"/>
      <c r="AG86" s="161"/>
      <c r="AH86" s="137"/>
      <c r="AI86" s="164" t="str">
        <f t="shared" ref="AI86:AI149" si="14">IF(I86="","",TEXT(I86, "mmmm yyyy"))</f>
        <v/>
      </c>
      <c r="AJ86" s="164" t="str">
        <f>IF(AND(OpenPendingCases[[#This Row],[Sale Status	]]="Open Sale",OpenPendingCases[[#This Row],[Potential Same Month]]="High"),TEXT(OpenPendingCases[[#This Row],[Request Entry Date]], "[$-en-us]mmmm"),"")</f>
        <v/>
      </c>
      <c r="AK86" s="165" t="str">
        <f>IFERROR(VALUE(SUBSTITUTE(OpenPendingCases[[#This Row],[Price]]," AED","")),"")</f>
        <v/>
      </c>
      <c r="AL86" s="165" t="str">
        <f>IFERROR(VALUE(LEFT(OpenPendingCases[[#This Row],[Price]],FIND(" ",OpenPendingCases[[#This Row],[Price]])-1)),"")</f>
        <v/>
      </c>
      <c r="AM86" s="165" t="str">
        <f>IFERROR(VALUE(_xlfn.TEXTBEFORE(OpenPendingCases[[#This Row],[Price]]," AED")),"")</f>
        <v/>
      </c>
      <c r="AN86" s="165"/>
    </row>
    <row r="87" spans="3:40" ht="18" hidden="1" x14ac:dyDescent="0.35">
      <c r="C87" s="148">
        <v>86</v>
      </c>
      <c r="D87" s="137" t="str">
        <f>IF($U87="Open Sale", IF(MAX($D$4:D86)+1=0, "", MAX($D$4:D86)+1), "")</f>
        <v/>
      </c>
      <c r="E87" s="137" t="str">
        <f>IF($U87="Pending Allocation", IF(MAX($E$4:E86)+1=0, "", MAX($E$4:E86)+1), "")</f>
        <v/>
      </c>
      <c r="F87" s="137"/>
      <c r="G87" s="137"/>
      <c r="H87" s="150"/>
      <c r="I87" s="150"/>
      <c r="J87" s="68" t="str">
        <f>IF(OpenPendingCases[[#This Row],[Timepiece Reference ]]="", "", IF(_xlfn.XLOOKUP(OpenPendingCases[[#This Row],[Timepiece Reference ]], Table1[[Timepiece Reference ]], Table1[CRC STOCK], "Not Found")="YES", "CRC Stock", "Boutique Stock"))</f>
        <v/>
      </c>
      <c r="K87" s="137" t="str">
        <f>IF(OpenPendingCases[[#This Row],[Timepiece Reference ]]="", "", IF(_xlfn.XLOOKUP(OpenPendingCases[[#This Row],[Timepiece Reference ]], Table1[[Timepiece Reference ]], Table1[CRC STOCK], "Not Found")="YES", "CRC Stock", "Boutique Stock"))</f>
        <v/>
      </c>
      <c r="L87" s="140"/>
      <c r="M87" s="141"/>
      <c r="N87" s="137"/>
      <c r="O87" s="134"/>
      <c r="P87" s="94" t="str">
        <f>IFERROR(VLOOKUP(TRIM(O87), Collection!$B$2:$D$1001, 2, FALSE), "")</f>
        <v/>
      </c>
      <c r="Q87" s="190" t="str">
        <f>IFERROR(VLOOKUP(TRIM(O87), Collection!$B$2:$D$1001, 3, FALSE), "")</f>
        <v/>
      </c>
      <c r="R87" s="153" t="str">
        <f t="shared" si="8"/>
        <v/>
      </c>
      <c r="S87" s="151"/>
      <c r="T87" s="158"/>
      <c r="U87" s="137"/>
      <c r="V87" s="137"/>
      <c r="W87" s="156" t="str">
        <f t="shared" si="12"/>
        <v/>
      </c>
      <c r="X87" s="157"/>
      <c r="Y87" s="158"/>
      <c r="Z87" s="158"/>
      <c r="AA87" s="137" t="str">
        <f t="shared" ca="1" si="13"/>
        <v/>
      </c>
      <c r="AB87" s="137" t="str">
        <f t="shared" ca="1" si="9"/>
        <v/>
      </c>
      <c r="AC87" s="160" t="str">
        <f t="shared" ca="1" si="10"/>
        <v/>
      </c>
      <c r="AD87" s="159" t="str">
        <f t="shared" ca="1" si="11"/>
        <v/>
      </c>
      <c r="AE87" s="161"/>
      <c r="AF87" s="161"/>
      <c r="AG87" s="161"/>
      <c r="AH87" s="137"/>
      <c r="AI87" s="164" t="str">
        <f t="shared" si="14"/>
        <v/>
      </c>
      <c r="AJ87" s="164" t="str">
        <f>IF(AND(OpenPendingCases[[#This Row],[Sale Status	]]="Open Sale",OpenPendingCases[[#This Row],[Potential Same Month]]="High"),TEXT(OpenPendingCases[[#This Row],[Request Entry Date]], "[$-en-us]mmmm"),"")</f>
        <v/>
      </c>
      <c r="AK87" s="165" t="str">
        <f>IFERROR(VALUE(SUBSTITUTE(OpenPendingCases[[#This Row],[Price]]," AED","")),"")</f>
        <v/>
      </c>
      <c r="AL87" s="165" t="str">
        <f>IFERROR(VALUE(LEFT(OpenPendingCases[[#This Row],[Price]],FIND(" ",OpenPendingCases[[#This Row],[Price]])-1)),"")</f>
        <v/>
      </c>
      <c r="AM87" s="165" t="str">
        <f>IFERROR(VALUE(_xlfn.TEXTBEFORE(OpenPendingCases[[#This Row],[Price]]," AED")),"")</f>
        <v/>
      </c>
      <c r="AN87" s="165"/>
    </row>
    <row r="88" spans="3:40" ht="18" hidden="1" x14ac:dyDescent="0.35">
      <c r="C88" s="148">
        <v>87</v>
      </c>
      <c r="D88" s="137" t="str">
        <f>IF($U88="Open Sale", IF(MAX($D$4:D87)+1=0, "", MAX($D$4:D87)+1), "")</f>
        <v/>
      </c>
      <c r="E88" s="137" t="str">
        <f>IF($U88="Pending Allocation", IF(MAX($E$4:E87)+1=0, "", MAX($E$4:E87)+1), "")</f>
        <v/>
      </c>
      <c r="F88" s="137"/>
      <c r="G88" s="137"/>
      <c r="H88" s="150"/>
      <c r="I88" s="150"/>
      <c r="J88" s="68" t="str">
        <f>IF(OpenPendingCases[[#This Row],[Timepiece Reference ]]="", "", IF(_xlfn.XLOOKUP(OpenPendingCases[[#This Row],[Timepiece Reference ]], Table1[[Timepiece Reference ]], Table1[CRC STOCK], "Not Found")="YES", "CRC Stock", "Boutique Stock"))</f>
        <v/>
      </c>
      <c r="K88" s="137" t="str">
        <f>IF(OpenPendingCases[[#This Row],[Timepiece Reference ]]="", "", IF(_xlfn.XLOOKUP(OpenPendingCases[[#This Row],[Timepiece Reference ]], Table1[[Timepiece Reference ]], Table1[CRC STOCK], "Not Found")="YES", "CRC Stock", "Boutique Stock"))</f>
        <v/>
      </c>
      <c r="L88" s="140"/>
      <c r="M88" s="141"/>
      <c r="N88" s="137"/>
      <c r="O88" s="134"/>
      <c r="P88" s="94" t="str">
        <f>IFERROR(VLOOKUP(TRIM(O88), Collection!$B$2:$D$1001, 2, FALSE), "")</f>
        <v/>
      </c>
      <c r="Q88" s="190" t="str">
        <f>IFERROR(VLOOKUP(TRIM(O88), Collection!$B$2:$D$1001, 3, FALSE), "")</f>
        <v/>
      </c>
      <c r="R88" s="153" t="str">
        <f t="shared" si="8"/>
        <v/>
      </c>
      <c r="S88" s="151"/>
      <c r="T88" s="158"/>
      <c r="U88" s="137"/>
      <c r="V88" s="137"/>
      <c r="W88" s="156" t="str">
        <f t="shared" si="12"/>
        <v/>
      </c>
      <c r="X88" s="157"/>
      <c r="Y88" s="158"/>
      <c r="Z88" s="158"/>
      <c r="AA88" s="137" t="str">
        <f t="shared" ca="1" si="13"/>
        <v/>
      </c>
      <c r="AB88" s="137" t="str">
        <f t="shared" ca="1" si="9"/>
        <v/>
      </c>
      <c r="AC88" s="160" t="str">
        <f t="shared" ca="1" si="10"/>
        <v/>
      </c>
      <c r="AD88" s="159" t="str">
        <f t="shared" ca="1" si="11"/>
        <v/>
      </c>
      <c r="AE88" s="161"/>
      <c r="AF88" s="161"/>
      <c r="AG88" s="161"/>
      <c r="AH88" s="137"/>
      <c r="AI88" s="164" t="str">
        <f t="shared" si="14"/>
        <v/>
      </c>
      <c r="AJ88" s="164" t="str">
        <f>IF(AND(OpenPendingCases[[#This Row],[Sale Status	]]="Open Sale",OpenPendingCases[[#This Row],[Potential Same Month]]="High"),TEXT(OpenPendingCases[[#This Row],[Request Entry Date]], "[$-en-us]mmmm"),"")</f>
        <v/>
      </c>
      <c r="AK88" s="165" t="str">
        <f>IFERROR(VALUE(SUBSTITUTE(OpenPendingCases[[#This Row],[Price]]," AED","")),"")</f>
        <v/>
      </c>
      <c r="AL88" s="165" t="str">
        <f>IFERROR(VALUE(LEFT(OpenPendingCases[[#This Row],[Price]],FIND(" ",OpenPendingCases[[#This Row],[Price]])-1)),"")</f>
        <v/>
      </c>
      <c r="AM88" s="165" t="str">
        <f>IFERROR(VALUE(_xlfn.TEXTBEFORE(OpenPendingCases[[#This Row],[Price]]," AED")),"")</f>
        <v/>
      </c>
      <c r="AN88" s="165"/>
    </row>
    <row r="89" spans="3:40" ht="18" hidden="1" x14ac:dyDescent="0.35">
      <c r="C89" s="148">
        <v>88</v>
      </c>
      <c r="D89" s="137" t="str">
        <f>IF($U89="Open Sale", IF(MAX($D$4:D88)+1=0, "", MAX($D$4:D88)+1), "")</f>
        <v/>
      </c>
      <c r="E89" s="137" t="str">
        <f>IF($U89="Pending Allocation", IF(MAX($E$4:E88)+1=0, "", MAX($E$4:E88)+1), "")</f>
        <v/>
      </c>
      <c r="F89" s="137"/>
      <c r="G89" s="137"/>
      <c r="H89" s="150"/>
      <c r="I89" s="150"/>
      <c r="J89" s="68" t="str">
        <f>IF(OpenPendingCases[[#This Row],[Timepiece Reference ]]="", "", IF(_xlfn.XLOOKUP(OpenPendingCases[[#This Row],[Timepiece Reference ]], Table1[[Timepiece Reference ]], Table1[CRC STOCK], "Not Found")="YES", "CRC Stock", "Boutique Stock"))</f>
        <v/>
      </c>
      <c r="K89" s="137" t="str">
        <f>IF(OpenPendingCases[[#This Row],[Timepiece Reference ]]="", "", IF(_xlfn.XLOOKUP(OpenPendingCases[[#This Row],[Timepiece Reference ]], Table1[[Timepiece Reference ]], Table1[CRC STOCK], "Not Found")="YES", "CRC Stock", "Boutique Stock"))</f>
        <v/>
      </c>
      <c r="L89" s="140"/>
      <c r="M89" s="141"/>
      <c r="N89" s="137"/>
      <c r="O89" s="134"/>
      <c r="P89" s="94" t="str">
        <f>IFERROR(VLOOKUP(TRIM(O89), Collection!$B$2:$D$1001, 2, FALSE), "")</f>
        <v/>
      </c>
      <c r="Q89" s="190" t="str">
        <f>IFERROR(VLOOKUP(TRIM(O89), Collection!$B$2:$D$1001, 3, FALSE), "")</f>
        <v/>
      </c>
      <c r="R89" s="153" t="str">
        <f t="shared" si="8"/>
        <v/>
      </c>
      <c r="S89" s="151"/>
      <c r="T89" s="158"/>
      <c r="U89" s="137"/>
      <c r="V89" s="137"/>
      <c r="W89" s="156" t="str">
        <f t="shared" si="12"/>
        <v/>
      </c>
      <c r="X89" s="157"/>
      <c r="Y89" s="158"/>
      <c r="Z89" s="158"/>
      <c r="AA89" s="137" t="str">
        <f t="shared" ca="1" si="13"/>
        <v/>
      </c>
      <c r="AB89" s="137" t="str">
        <f t="shared" ca="1" si="9"/>
        <v/>
      </c>
      <c r="AC89" s="160" t="str">
        <f t="shared" ca="1" si="10"/>
        <v/>
      </c>
      <c r="AD89" s="159" t="str">
        <f t="shared" ca="1" si="11"/>
        <v/>
      </c>
      <c r="AE89" s="161"/>
      <c r="AF89" s="161"/>
      <c r="AG89" s="161"/>
      <c r="AH89" s="137"/>
      <c r="AI89" s="164" t="str">
        <f t="shared" si="14"/>
        <v/>
      </c>
      <c r="AJ89" s="164" t="str">
        <f>IF(AND(OpenPendingCases[[#This Row],[Sale Status	]]="Open Sale",OpenPendingCases[[#This Row],[Potential Same Month]]="High"),TEXT(OpenPendingCases[[#This Row],[Request Entry Date]], "[$-en-us]mmmm"),"")</f>
        <v/>
      </c>
      <c r="AK89" s="165" t="str">
        <f>IFERROR(VALUE(SUBSTITUTE(OpenPendingCases[[#This Row],[Price]]," AED","")),"")</f>
        <v/>
      </c>
      <c r="AL89" s="165" t="str">
        <f>IFERROR(VALUE(LEFT(OpenPendingCases[[#This Row],[Price]],FIND(" ",OpenPendingCases[[#This Row],[Price]])-1)),"")</f>
        <v/>
      </c>
      <c r="AM89" s="165" t="str">
        <f>IFERROR(VALUE(_xlfn.TEXTBEFORE(OpenPendingCases[[#This Row],[Price]]," AED")),"")</f>
        <v/>
      </c>
      <c r="AN89" s="165"/>
    </row>
    <row r="90" spans="3:40" ht="18" hidden="1" x14ac:dyDescent="0.35">
      <c r="C90" s="148">
        <v>89</v>
      </c>
      <c r="D90" s="137" t="str">
        <f>IF($U90="Open Sale", IF(MAX($D$4:D89)+1=0, "", MAX($D$4:D89)+1), "")</f>
        <v/>
      </c>
      <c r="E90" s="137" t="str">
        <f>IF($U90="Pending Allocation", IF(MAX($E$4:E89)+1=0, "", MAX($E$4:E89)+1), "")</f>
        <v/>
      </c>
      <c r="F90" s="137"/>
      <c r="G90" s="137"/>
      <c r="H90" s="150"/>
      <c r="I90" s="150"/>
      <c r="J90" s="68" t="str">
        <f>IF(OpenPendingCases[[#This Row],[Timepiece Reference ]]="", "", IF(_xlfn.XLOOKUP(OpenPendingCases[[#This Row],[Timepiece Reference ]], Table1[[Timepiece Reference ]], Table1[CRC STOCK], "Not Found")="YES", "CRC Stock", "Boutique Stock"))</f>
        <v/>
      </c>
      <c r="K90" s="137" t="str">
        <f>IF(OpenPendingCases[[#This Row],[Timepiece Reference ]]="", "", IF(_xlfn.XLOOKUP(OpenPendingCases[[#This Row],[Timepiece Reference ]], Table1[[Timepiece Reference ]], Table1[CRC STOCK], "Not Found")="YES", "CRC Stock", "Boutique Stock"))</f>
        <v/>
      </c>
      <c r="L90" s="140"/>
      <c r="M90" s="141"/>
      <c r="N90" s="137"/>
      <c r="O90" s="134"/>
      <c r="P90" s="94" t="str">
        <f>IFERROR(VLOOKUP(TRIM(O90), Collection!$B$2:$D$1001, 2, FALSE), "")</f>
        <v/>
      </c>
      <c r="Q90" s="190" t="str">
        <f>IFERROR(VLOOKUP(TRIM(O90), Collection!$B$2:$D$1001, 3, FALSE), "")</f>
        <v/>
      </c>
      <c r="R90" s="153" t="str">
        <f t="shared" si="8"/>
        <v/>
      </c>
      <c r="S90" s="151"/>
      <c r="T90" s="158"/>
      <c r="U90" s="137"/>
      <c r="V90" s="137"/>
      <c r="W90" s="156" t="str">
        <f t="shared" si="12"/>
        <v/>
      </c>
      <c r="X90" s="157"/>
      <c r="Y90" s="158"/>
      <c r="Z90" s="158"/>
      <c r="AA90" s="137" t="str">
        <f t="shared" ca="1" si="13"/>
        <v/>
      </c>
      <c r="AB90" s="137" t="str">
        <f t="shared" ca="1" si="9"/>
        <v/>
      </c>
      <c r="AC90" s="160" t="str">
        <f t="shared" ca="1" si="10"/>
        <v/>
      </c>
      <c r="AD90" s="159" t="str">
        <f t="shared" ca="1" si="11"/>
        <v/>
      </c>
      <c r="AE90" s="161"/>
      <c r="AF90" s="161"/>
      <c r="AG90" s="161"/>
      <c r="AH90" s="137"/>
      <c r="AI90" s="164" t="str">
        <f t="shared" si="14"/>
        <v/>
      </c>
      <c r="AJ90" s="164" t="str">
        <f>IF(AND(OpenPendingCases[[#This Row],[Sale Status	]]="Open Sale",OpenPendingCases[[#This Row],[Potential Same Month]]="High"),TEXT(OpenPendingCases[[#This Row],[Request Entry Date]], "[$-en-us]mmmm"),"")</f>
        <v/>
      </c>
      <c r="AK90" s="165" t="str">
        <f>IFERROR(VALUE(SUBSTITUTE(OpenPendingCases[[#This Row],[Price]]," AED","")),"")</f>
        <v/>
      </c>
      <c r="AL90" s="165" t="str">
        <f>IFERROR(VALUE(LEFT(OpenPendingCases[[#This Row],[Price]],FIND(" ",OpenPendingCases[[#This Row],[Price]])-1)),"")</f>
        <v/>
      </c>
      <c r="AM90" s="165" t="str">
        <f>IFERROR(VALUE(_xlfn.TEXTBEFORE(OpenPendingCases[[#This Row],[Price]]," AED")),"")</f>
        <v/>
      </c>
      <c r="AN90" s="165"/>
    </row>
    <row r="91" spans="3:40" ht="18" hidden="1" x14ac:dyDescent="0.35">
      <c r="C91" s="148">
        <v>90</v>
      </c>
      <c r="D91" s="137" t="str">
        <f>IF($U91="Open Sale", IF(MAX($D$4:D90)+1=0, "", MAX($D$4:D90)+1), "")</f>
        <v/>
      </c>
      <c r="E91" s="137" t="str">
        <f>IF($U91="Pending Allocation", IF(MAX($E$4:E90)+1=0, "", MAX($E$4:E90)+1), "")</f>
        <v/>
      </c>
      <c r="F91" s="137"/>
      <c r="G91" s="137"/>
      <c r="H91" s="150"/>
      <c r="I91" s="150"/>
      <c r="J91" s="68" t="str">
        <f>IF(OpenPendingCases[[#This Row],[Timepiece Reference ]]="", "", IF(_xlfn.XLOOKUP(OpenPendingCases[[#This Row],[Timepiece Reference ]], Table1[[Timepiece Reference ]], Table1[CRC STOCK], "Not Found")="YES", "CRC Stock", "Boutique Stock"))</f>
        <v/>
      </c>
      <c r="K91" s="137" t="str">
        <f>IF(OpenPendingCases[[#This Row],[Timepiece Reference ]]="", "", IF(_xlfn.XLOOKUP(OpenPendingCases[[#This Row],[Timepiece Reference ]], Table1[[Timepiece Reference ]], Table1[CRC STOCK], "Not Found")="YES", "CRC Stock", "Boutique Stock"))</f>
        <v/>
      </c>
      <c r="L91" s="140"/>
      <c r="M91" s="141"/>
      <c r="N91" s="137"/>
      <c r="O91" s="134"/>
      <c r="P91" s="94" t="str">
        <f>IFERROR(VLOOKUP(TRIM(O91), Collection!$B$2:$D$1001, 2, FALSE), "")</f>
        <v/>
      </c>
      <c r="Q91" s="190" t="str">
        <f>IFERROR(VLOOKUP(TRIM(O91), Collection!$B$2:$D$1001, 3, FALSE), "")</f>
        <v/>
      </c>
      <c r="R91" s="153" t="str">
        <f t="shared" si="8"/>
        <v/>
      </c>
      <c r="S91" s="151"/>
      <c r="T91" s="158"/>
      <c r="U91" s="137"/>
      <c r="V91" s="137"/>
      <c r="W91" s="156" t="str">
        <f t="shared" si="12"/>
        <v/>
      </c>
      <c r="X91" s="157"/>
      <c r="Y91" s="158"/>
      <c r="Z91" s="158"/>
      <c r="AA91" s="137" t="str">
        <f t="shared" ca="1" si="13"/>
        <v/>
      </c>
      <c r="AB91" s="137" t="str">
        <f t="shared" ca="1" si="9"/>
        <v/>
      </c>
      <c r="AC91" s="160" t="str">
        <f t="shared" ca="1" si="10"/>
        <v/>
      </c>
      <c r="AD91" s="159" t="str">
        <f t="shared" ca="1" si="11"/>
        <v/>
      </c>
      <c r="AE91" s="161"/>
      <c r="AF91" s="161"/>
      <c r="AG91" s="161"/>
      <c r="AH91" s="137"/>
      <c r="AI91" s="164" t="str">
        <f t="shared" si="14"/>
        <v/>
      </c>
      <c r="AJ91" s="164" t="str">
        <f>IF(AND(OpenPendingCases[[#This Row],[Sale Status	]]="Open Sale",OpenPendingCases[[#This Row],[Potential Same Month]]="High"),TEXT(OpenPendingCases[[#This Row],[Request Entry Date]], "[$-en-us]mmmm"),"")</f>
        <v/>
      </c>
      <c r="AK91" s="165" t="str">
        <f>IFERROR(VALUE(SUBSTITUTE(OpenPendingCases[[#This Row],[Price]]," AED","")),"")</f>
        <v/>
      </c>
      <c r="AL91" s="165" t="str">
        <f>IFERROR(VALUE(LEFT(OpenPendingCases[[#This Row],[Price]],FIND(" ",OpenPendingCases[[#This Row],[Price]])-1)),"")</f>
        <v/>
      </c>
      <c r="AM91" s="165" t="str">
        <f>IFERROR(VALUE(_xlfn.TEXTBEFORE(OpenPendingCases[[#This Row],[Price]]," AED")),"")</f>
        <v/>
      </c>
      <c r="AN91" s="165"/>
    </row>
    <row r="92" spans="3:40" ht="18" hidden="1" x14ac:dyDescent="0.35">
      <c r="C92" s="148">
        <v>91</v>
      </c>
      <c r="D92" s="137" t="str">
        <f>IF($U92="Open Sale", IF(MAX($D$4:D91)+1=0, "", MAX($D$4:D91)+1), "")</f>
        <v/>
      </c>
      <c r="E92" s="137" t="str">
        <f>IF($U92="Pending Allocation", IF(MAX($E$4:E91)+1=0, "", MAX($E$4:E91)+1), "")</f>
        <v/>
      </c>
      <c r="F92" s="137"/>
      <c r="G92" s="137"/>
      <c r="H92" s="150"/>
      <c r="I92" s="150"/>
      <c r="J92" s="68" t="str">
        <f>IF(OpenPendingCases[[#This Row],[Timepiece Reference ]]="", "", IF(_xlfn.XLOOKUP(OpenPendingCases[[#This Row],[Timepiece Reference ]], Table1[[Timepiece Reference ]], Table1[CRC STOCK], "Not Found")="YES", "CRC Stock", "Boutique Stock"))</f>
        <v/>
      </c>
      <c r="K92" s="137" t="str">
        <f>IF(OpenPendingCases[[#This Row],[Timepiece Reference ]]="", "", IF(_xlfn.XLOOKUP(OpenPendingCases[[#This Row],[Timepiece Reference ]], Table1[[Timepiece Reference ]], Table1[CRC STOCK], "Not Found")="YES", "CRC Stock", "Boutique Stock"))</f>
        <v/>
      </c>
      <c r="L92" s="140"/>
      <c r="M92" s="141"/>
      <c r="N92" s="137"/>
      <c r="O92" s="134"/>
      <c r="P92" s="94" t="str">
        <f>IFERROR(VLOOKUP(TRIM(O92), Collection!$B$2:$D$1001, 2, FALSE), "")</f>
        <v/>
      </c>
      <c r="Q92" s="190" t="str">
        <f>IFERROR(VLOOKUP(TRIM(O92), Collection!$B$2:$D$1001, 3, FALSE), "")</f>
        <v/>
      </c>
      <c r="R92" s="153" t="str">
        <f t="shared" si="8"/>
        <v/>
      </c>
      <c r="S92" s="151"/>
      <c r="T92" s="158"/>
      <c r="U92" s="137"/>
      <c r="V92" s="137"/>
      <c r="W92" s="156" t="str">
        <f t="shared" si="12"/>
        <v/>
      </c>
      <c r="X92" s="157"/>
      <c r="Y92" s="158"/>
      <c r="Z92" s="158"/>
      <c r="AA92" s="137" t="str">
        <f t="shared" ca="1" si="13"/>
        <v/>
      </c>
      <c r="AB92" s="137" t="str">
        <f t="shared" ca="1" si="9"/>
        <v/>
      </c>
      <c r="AC92" s="160" t="str">
        <f t="shared" ca="1" si="10"/>
        <v/>
      </c>
      <c r="AD92" s="159" t="str">
        <f t="shared" ca="1" si="11"/>
        <v/>
      </c>
      <c r="AE92" s="161"/>
      <c r="AF92" s="161"/>
      <c r="AG92" s="161"/>
      <c r="AH92" s="137"/>
      <c r="AI92" s="164" t="str">
        <f t="shared" si="14"/>
        <v/>
      </c>
      <c r="AJ92" s="164" t="str">
        <f>IF(AND(OpenPendingCases[[#This Row],[Sale Status	]]="Open Sale",OpenPendingCases[[#This Row],[Potential Same Month]]="High"),TEXT(OpenPendingCases[[#This Row],[Request Entry Date]], "[$-en-us]mmmm"),"")</f>
        <v/>
      </c>
      <c r="AK92" s="165" t="str">
        <f>IFERROR(VALUE(SUBSTITUTE(OpenPendingCases[[#This Row],[Price]]," AED","")),"")</f>
        <v/>
      </c>
      <c r="AL92" s="165" t="str">
        <f>IFERROR(VALUE(LEFT(OpenPendingCases[[#This Row],[Price]],FIND(" ",OpenPendingCases[[#This Row],[Price]])-1)),"")</f>
        <v/>
      </c>
      <c r="AM92" s="165" t="str">
        <f>IFERROR(VALUE(_xlfn.TEXTBEFORE(OpenPendingCases[[#This Row],[Price]]," AED")),"")</f>
        <v/>
      </c>
      <c r="AN92" s="165"/>
    </row>
    <row r="93" spans="3:40" ht="18" hidden="1" x14ac:dyDescent="0.35">
      <c r="C93" s="148">
        <v>92</v>
      </c>
      <c r="D93" s="137" t="str">
        <f>IF($U93="Open Sale", IF(MAX($D$4:D92)+1=0, "", MAX($D$4:D92)+1), "")</f>
        <v/>
      </c>
      <c r="E93" s="137" t="str">
        <f>IF($U93="Pending Allocation", IF(MAX($E$4:E92)+1=0, "", MAX($E$4:E92)+1), "")</f>
        <v/>
      </c>
      <c r="F93" s="137"/>
      <c r="G93" s="137"/>
      <c r="H93" s="150"/>
      <c r="I93" s="150"/>
      <c r="J93" s="68" t="str">
        <f>IF(OpenPendingCases[[#This Row],[Timepiece Reference ]]="", "", IF(_xlfn.XLOOKUP(OpenPendingCases[[#This Row],[Timepiece Reference ]], Table1[[Timepiece Reference ]], Table1[CRC STOCK], "Not Found")="YES", "CRC Stock", "Boutique Stock"))</f>
        <v/>
      </c>
      <c r="K93" s="137" t="str">
        <f>IF(OpenPendingCases[[#This Row],[Timepiece Reference ]]="", "", IF(_xlfn.XLOOKUP(OpenPendingCases[[#This Row],[Timepiece Reference ]], Table1[[Timepiece Reference ]], Table1[CRC STOCK], "Not Found")="YES", "CRC Stock", "Boutique Stock"))</f>
        <v/>
      </c>
      <c r="L93" s="140"/>
      <c r="M93" s="141"/>
      <c r="N93" s="137"/>
      <c r="O93" s="134"/>
      <c r="P93" s="94" t="str">
        <f>IFERROR(VLOOKUP(TRIM(O93), Collection!$B$2:$D$1001, 2, FALSE), "")</f>
        <v/>
      </c>
      <c r="Q93" s="190" t="str">
        <f>IFERROR(VLOOKUP(TRIM(O93), Collection!$B$2:$D$1001, 3, FALSE), "")</f>
        <v/>
      </c>
      <c r="R93" s="153" t="str">
        <f t="shared" si="8"/>
        <v/>
      </c>
      <c r="S93" s="151"/>
      <c r="T93" s="158"/>
      <c r="U93" s="137"/>
      <c r="V93" s="137"/>
      <c r="W93" s="156" t="str">
        <f t="shared" si="12"/>
        <v/>
      </c>
      <c r="X93" s="157"/>
      <c r="Y93" s="158"/>
      <c r="Z93" s="158"/>
      <c r="AA93" s="137" t="str">
        <f t="shared" ca="1" si="13"/>
        <v/>
      </c>
      <c r="AB93" s="137" t="str">
        <f t="shared" ca="1" si="9"/>
        <v/>
      </c>
      <c r="AC93" s="160" t="str">
        <f t="shared" ca="1" si="10"/>
        <v/>
      </c>
      <c r="AD93" s="159" t="str">
        <f t="shared" ca="1" si="11"/>
        <v/>
      </c>
      <c r="AE93" s="161"/>
      <c r="AF93" s="161"/>
      <c r="AG93" s="161"/>
      <c r="AH93" s="137"/>
      <c r="AI93" s="164" t="str">
        <f t="shared" si="14"/>
        <v/>
      </c>
      <c r="AJ93" s="164" t="str">
        <f>IF(AND(OpenPendingCases[[#This Row],[Sale Status	]]="Open Sale",OpenPendingCases[[#This Row],[Potential Same Month]]="High"),TEXT(OpenPendingCases[[#This Row],[Request Entry Date]], "[$-en-us]mmmm"),"")</f>
        <v/>
      </c>
      <c r="AK93" s="165" t="str">
        <f>IFERROR(VALUE(SUBSTITUTE(OpenPendingCases[[#This Row],[Price]]," AED","")),"")</f>
        <v/>
      </c>
      <c r="AL93" s="165" t="str">
        <f>IFERROR(VALUE(LEFT(OpenPendingCases[[#This Row],[Price]],FIND(" ",OpenPendingCases[[#This Row],[Price]])-1)),"")</f>
        <v/>
      </c>
      <c r="AM93" s="165" t="str">
        <f>IFERROR(VALUE(_xlfn.TEXTBEFORE(OpenPendingCases[[#This Row],[Price]]," AED")),"")</f>
        <v/>
      </c>
      <c r="AN93" s="165"/>
    </row>
    <row r="94" spans="3:40" ht="18" hidden="1" x14ac:dyDescent="0.35">
      <c r="C94" s="148">
        <v>93</v>
      </c>
      <c r="D94" s="137" t="str">
        <f>IF($U94="Open Sale", IF(MAX($D$4:D93)+1=0, "", MAX($D$4:D93)+1), "")</f>
        <v/>
      </c>
      <c r="E94" s="137" t="str">
        <f>IF($U94="Pending Allocation", IF(MAX($E$4:E93)+1=0, "", MAX($E$4:E93)+1), "")</f>
        <v/>
      </c>
      <c r="F94" s="137"/>
      <c r="G94" s="137"/>
      <c r="H94" s="150"/>
      <c r="I94" s="150"/>
      <c r="J94" s="68" t="str">
        <f>IF(OpenPendingCases[[#This Row],[Timepiece Reference ]]="", "", IF(_xlfn.XLOOKUP(OpenPendingCases[[#This Row],[Timepiece Reference ]], Table1[[Timepiece Reference ]], Table1[CRC STOCK], "Not Found")="YES", "CRC Stock", "Boutique Stock"))</f>
        <v/>
      </c>
      <c r="K94" s="137" t="str">
        <f>IF(OpenPendingCases[[#This Row],[Timepiece Reference ]]="", "", IF(_xlfn.XLOOKUP(OpenPendingCases[[#This Row],[Timepiece Reference ]], Table1[[Timepiece Reference ]], Table1[CRC STOCK], "Not Found")="YES", "CRC Stock", "Boutique Stock"))</f>
        <v/>
      </c>
      <c r="L94" s="140"/>
      <c r="M94" s="141"/>
      <c r="N94" s="137"/>
      <c r="O94" s="134"/>
      <c r="P94" s="94" t="str">
        <f>IFERROR(VLOOKUP(TRIM(O94), Collection!$B$2:$D$1001, 2, FALSE), "")</f>
        <v/>
      </c>
      <c r="Q94" s="190" t="str">
        <f>IFERROR(VLOOKUP(TRIM(O94), Collection!$B$2:$D$1001, 3, FALSE), "")</f>
        <v/>
      </c>
      <c r="R94" s="153" t="str">
        <f t="shared" si="8"/>
        <v/>
      </c>
      <c r="S94" s="151"/>
      <c r="T94" s="158"/>
      <c r="U94" s="137"/>
      <c r="V94" s="137"/>
      <c r="W94" s="156" t="str">
        <f t="shared" si="12"/>
        <v/>
      </c>
      <c r="X94" s="157"/>
      <c r="Y94" s="158"/>
      <c r="Z94" s="158"/>
      <c r="AA94" s="137" t="str">
        <f t="shared" ca="1" si="13"/>
        <v/>
      </c>
      <c r="AB94" s="137" t="str">
        <f t="shared" ca="1" si="9"/>
        <v/>
      </c>
      <c r="AC94" s="160" t="str">
        <f t="shared" ca="1" si="10"/>
        <v/>
      </c>
      <c r="AD94" s="159" t="str">
        <f t="shared" ca="1" si="11"/>
        <v/>
      </c>
      <c r="AE94" s="161"/>
      <c r="AF94" s="161"/>
      <c r="AG94" s="161"/>
      <c r="AH94" s="137"/>
      <c r="AI94" s="164" t="str">
        <f t="shared" si="14"/>
        <v/>
      </c>
      <c r="AJ94" s="164" t="str">
        <f>IF(AND(OpenPendingCases[[#This Row],[Sale Status	]]="Open Sale",OpenPendingCases[[#This Row],[Potential Same Month]]="High"),TEXT(OpenPendingCases[[#This Row],[Request Entry Date]], "[$-en-us]mmmm"),"")</f>
        <v/>
      </c>
      <c r="AK94" s="165" t="str">
        <f>IFERROR(VALUE(SUBSTITUTE(OpenPendingCases[[#This Row],[Price]]," AED","")),"")</f>
        <v/>
      </c>
      <c r="AL94" s="165" t="str">
        <f>IFERROR(VALUE(LEFT(OpenPendingCases[[#This Row],[Price]],FIND(" ",OpenPendingCases[[#This Row],[Price]])-1)),"")</f>
        <v/>
      </c>
      <c r="AM94" s="165" t="str">
        <f>IFERROR(VALUE(_xlfn.TEXTBEFORE(OpenPendingCases[[#This Row],[Price]]," AED")),"")</f>
        <v/>
      </c>
      <c r="AN94" s="165"/>
    </row>
    <row r="95" spans="3:40" ht="18" hidden="1" x14ac:dyDescent="0.35">
      <c r="C95" s="148">
        <v>94</v>
      </c>
      <c r="D95" s="137" t="str">
        <f>IF($U95="Open Sale", IF(MAX($D$4:D94)+1=0, "", MAX($D$4:D94)+1), "")</f>
        <v/>
      </c>
      <c r="E95" s="137" t="str">
        <f>IF($U95="Pending Allocation", IF(MAX($E$4:E94)+1=0, "", MAX($E$4:E94)+1), "")</f>
        <v/>
      </c>
      <c r="F95" s="137"/>
      <c r="G95" s="137"/>
      <c r="H95" s="150"/>
      <c r="I95" s="150"/>
      <c r="J95" s="68" t="str">
        <f>IF(OpenPendingCases[[#This Row],[Timepiece Reference ]]="", "", IF(_xlfn.XLOOKUP(OpenPendingCases[[#This Row],[Timepiece Reference ]], Table1[[Timepiece Reference ]], Table1[CRC STOCK], "Not Found")="YES", "CRC Stock", "Boutique Stock"))</f>
        <v/>
      </c>
      <c r="K95" s="137" t="str">
        <f>IF(OpenPendingCases[[#This Row],[Timepiece Reference ]]="", "", IF(_xlfn.XLOOKUP(OpenPendingCases[[#This Row],[Timepiece Reference ]], Table1[[Timepiece Reference ]], Table1[CRC STOCK], "Not Found")="YES", "CRC Stock", "Boutique Stock"))</f>
        <v/>
      </c>
      <c r="L95" s="140"/>
      <c r="M95" s="141"/>
      <c r="N95" s="137"/>
      <c r="O95" s="134"/>
      <c r="P95" s="94" t="str">
        <f>IFERROR(VLOOKUP(TRIM(O95), Collection!$B$2:$D$1001, 2, FALSE), "")</f>
        <v/>
      </c>
      <c r="Q95" s="190" t="str">
        <f>IFERROR(VLOOKUP(TRIM(O95), Collection!$B$2:$D$1001, 3, FALSE), "")</f>
        <v/>
      </c>
      <c r="R95" s="153" t="str">
        <f t="shared" si="8"/>
        <v/>
      </c>
      <c r="S95" s="151"/>
      <c r="T95" s="158"/>
      <c r="U95" s="137"/>
      <c r="V95" s="137"/>
      <c r="W95" s="156" t="str">
        <f t="shared" si="12"/>
        <v/>
      </c>
      <c r="X95" s="157"/>
      <c r="Y95" s="158"/>
      <c r="Z95" s="158"/>
      <c r="AA95" s="137" t="str">
        <f t="shared" ca="1" si="13"/>
        <v/>
      </c>
      <c r="AB95" s="137" t="str">
        <f t="shared" ca="1" si="9"/>
        <v/>
      </c>
      <c r="AC95" s="160" t="str">
        <f t="shared" ca="1" si="10"/>
        <v/>
      </c>
      <c r="AD95" s="159" t="str">
        <f t="shared" ca="1" si="11"/>
        <v/>
      </c>
      <c r="AE95" s="161"/>
      <c r="AF95" s="161"/>
      <c r="AG95" s="161"/>
      <c r="AH95" s="137"/>
      <c r="AI95" s="164" t="str">
        <f t="shared" si="14"/>
        <v/>
      </c>
      <c r="AJ95" s="164" t="str">
        <f>IF(AND(OpenPendingCases[[#This Row],[Sale Status	]]="Open Sale",OpenPendingCases[[#This Row],[Potential Same Month]]="High"),TEXT(OpenPendingCases[[#This Row],[Request Entry Date]], "[$-en-us]mmmm"),"")</f>
        <v/>
      </c>
      <c r="AK95" s="165" t="str">
        <f>IFERROR(VALUE(SUBSTITUTE(OpenPendingCases[[#This Row],[Price]]," AED","")),"")</f>
        <v/>
      </c>
      <c r="AL95" s="165" t="str">
        <f>IFERROR(VALUE(LEFT(OpenPendingCases[[#This Row],[Price]],FIND(" ",OpenPendingCases[[#This Row],[Price]])-1)),"")</f>
        <v/>
      </c>
      <c r="AM95" s="165" t="str">
        <f>IFERROR(VALUE(_xlfn.TEXTBEFORE(OpenPendingCases[[#This Row],[Price]]," AED")),"")</f>
        <v/>
      </c>
      <c r="AN95" s="165"/>
    </row>
    <row r="96" spans="3:40" ht="18" hidden="1" x14ac:dyDescent="0.35">
      <c r="C96" s="148">
        <v>95</v>
      </c>
      <c r="D96" s="137" t="str">
        <f>IF($U96="Open Sale", IF(MAX($D$4:D95)+1=0, "", MAX($D$4:D95)+1), "")</f>
        <v/>
      </c>
      <c r="E96" s="137" t="str">
        <f>IF($U96="Pending Allocation", IF(MAX($E$4:E95)+1=0, "", MAX($E$4:E95)+1), "")</f>
        <v/>
      </c>
      <c r="F96" s="137"/>
      <c r="G96" s="137"/>
      <c r="H96" s="150"/>
      <c r="I96" s="150"/>
      <c r="J96" s="68" t="str">
        <f>IF(OpenPendingCases[[#This Row],[Timepiece Reference ]]="", "", IF(_xlfn.XLOOKUP(OpenPendingCases[[#This Row],[Timepiece Reference ]], Table1[[Timepiece Reference ]], Table1[CRC STOCK], "Not Found")="YES", "CRC Stock", "Boutique Stock"))</f>
        <v/>
      </c>
      <c r="K96" s="137" t="str">
        <f>IF(OpenPendingCases[[#This Row],[Timepiece Reference ]]="", "", IF(_xlfn.XLOOKUP(OpenPendingCases[[#This Row],[Timepiece Reference ]], Table1[[Timepiece Reference ]], Table1[CRC STOCK], "Not Found")="YES", "CRC Stock", "Boutique Stock"))</f>
        <v/>
      </c>
      <c r="L96" s="140"/>
      <c r="M96" s="141"/>
      <c r="N96" s="137"/>
      <c r="O96" s="134"/>
      <c r="P96" s="94" t="str">
        <f>IFERROR(VLOOKUP(TRIM(O96), Collection!$B$2:$D$1001, 2, FALSE), "")</f>
        <v/>
      </c>
      <c r="Q96" s="190" t="str">
        <f>IFERROR(VLOOKUP(TRIM(O96), Collection!$B$2:$D$1001, 3, FALSE), "")</f>
        <v/>
      </c>
      <c r="R96" s="153" t="str">
        <f t="shared" si="8"/>
        <v/>
      </c>
      <c r="S96" s="151"/>
      <c r="T96" s="158"/>
      <c r="U96" s="137"/>
      <c r="V96" s="137"/>
      <c r="W96" s="156" t="str">
        <f t="shared" si="12"/>
        <v/>
      </c>
      <c r="X96" s="157"/>
      <c r="Y96" s="158"/>
      <c r="Z96" s="158"/>
      <c r="AA96" s="137" t="str">
        <f t="shared" ca="1" si="13"/>
        <v/>
      </c>
      <c r="AB96" s="137" t="str">
        <f t="shared" ca="1" si="9"/>
        <v/>
      </c>
      <c r="AC96" s="160" t="str">
        <f t="shared" ca="1" si="10"/>
        <v/>
      </c>
      <c r="AD96" s="159" t="str">
        <f t="shared" ca="1" si="11"/>
        <v/>
      </c>
      <c r="AE96" s="161"/>
      <c r="AF96" s="161"/>
      <c r="AG96" s="161"/>
      <c r="AH96" s="137"/>
      <c r="AI96" s="164" t="str">
        <f t="shared" si="14"/>
        <v/>
      </c>
      <c r="AJ96" s="164" t="str">
        <f>IF(AND(OpenPendingCases[[#This Row],[Sale Status	]]="Open Sale",OpenPendingCases[[#This Row],[Potential Same Month]]="High"),TEXT(OpenPendingCases[[#This Row],[Request Entry Date]], "[$-en-us]mmmm"),"")</f>
        <v/>
      </c>
      <c r="AK96" s="165" t="str">
        <f>IFERROR(VALUE(SUBSTITUTE(OpenPendingCases[[#This Row],[Price]]," AED","")),"")</f>
        <v/>
      </c>
      <c r="AL96" s="165" t="str">
        <f>IFERROR(VALUE(LEFT(OpenPendingCases[[#This Row],[Price]],FIND(" ",OpenPendingCases[[#This Row],[Price]])-1)),"")</f>
        <v/>
      </c>
      <c r="AM96" s="165" t="str">
        <f>IFERROR(VALUE(_xlfn.TEXTBEFORE(OpenPendingCases[[#This Row],[Price]]," AED")),"")</f>
        <v/>
      </c>
      <c r="AN96" s="165"/>
    </row>
    <row r="97" spans="3:40" ht="18" hidden="1" x14ac:dyDescent="0.35">
      <c r="C97" s="148">
        <v>96</v>
      </c>
      <c r="D97" s="137" t="str">
        <f>IF($U97="Open Sale", IF(MAX($D$4:D96)+1=0, "", MAX($D$4:D96)+1), "")</f>
        <v/>
      </c>
      <c r="E97" s="137" t="str">
        <f>IF($U97="Pending Allocation", IF(MAX($E$4:E96)+1=0, "", MAX($E$4:E96)+1), "")</f>
        <v/>
      </c>
      <c r="F97" s="137"/>
      <c r="G97" s="137"/>
      <c r="H97" s="150"/>
      <c r="I97" s="150"/>
      <c r="J97" s="68" t="str">
        <f>IF(OpenPendingCases[[#This Row],[Timepiece Reference ]]="", "", IF(_xlfn.XLOOKUP(OpenPendingCases[[#This Row],[Timepiece Reference ]], Table1[[Timepiece Reference ]], Table1[CRC STOCK], "Not Found")="YES", "CRC Stock", "Boutique Stock"))</f>
        <v/>
      </c>
      <c r="K97" s="137" t="str">
        <f>IF(OpenPendingCases[[#This Row],[Timepiece Reference ]]="", "", IF(_xlfn.XLOOKUP(OpenPendingCases[[#This Row],[Timepiece Reference ]], Table1[[Timepiece Reference ]], Table1[CRC STOCK], "Not Found")="YES", "CRC Stock", "Boutique Stock"))</f>
        <v/>
      </c>
      <c r="L97" s="140"/>
      <c r="M97" s="141"/>
      <c r="N97" s="137"/>
      <c r="O97" s="134"/>
      <c r="P97" s="94" t="str">
        <f>IFERROR(VLOOKUP(TRIM(O97), Collection!$B$2:$D$1001, 2, FALSE), "")</f>
        <v/>
      </c>
      <c r="Q97" s="190" t="str">
        <f>IFERROR(VLOOKUP(TRIM(O97), Collection!$B$2:$D$1001, 3, FALSE), "")</f>
        <v/>
      </c>
      <c r="R97" s="153" t="str">
        <f t="shared" si="8"/>
        <v/>
      </c>
      <c r="S97" s="151"/>
      <c r="T97" s="158"/>
      <c r="U97" s="137"/>
      <c r="V97" s="137"/>
      <c r="W97" s="156" t="str">
        <f t="shared" ref="W97:W131" si="15" xml:space="preserve"> IF(Z97 = "",
     "",
     TEXT(Z97, "mmmm"))</f>
        <v/>
      </c>
      <c r="X97" s="157"/>
      <c r="Y97" s="158"/>
      <c r="Z97" s="158"/>
      <c r="AA97" s="137" t="str">
        <f t="shared" ca="1" si="13"/>
        <v/>
      </c>
      <c r="AB97" s="137" t="str">
        <f t="shared" ca="1" si="9"/>
        <v/>
      </c>
      <c r="AC97" s="160" t="str">
        <f t="shared" ca="1" si="10"/>
        <v/>
      </c>
      <c r="AD97" s="159" t="str">
        <f t="shared" ca="1" si="11"/>
        <v/>
      </c>
      <c r="AE97" s="161"/>
      <c r="AF97" s="161"/>
      <c r="AG97" s="161"/>
      <c r="AH97" s="137"/>
      <c r="AI97" s="164" t="str">
        <f t="shared" si="14"/>
        <v/>
      </c>
      <c r="AJ97" s="164" t="str">
        <f>IF(AND(OpenPendingCases[[#This Row],[Sale Status	]]="Open Sale",OpenPendingCases[[#This Row],[Potential Same Month]]="High"),TEXT(OpenPendingCases[[#This Row],[Request Entry Date]], "[$-en-us]mmmm"),"")</f>
        <v/>
      </c>
      <c r="AK97" s="165" t="str">
        <f>IFERROR(VALUE(SUBSTITUTE(OpenPendingCases[[#This Row],[Price]]," AED","")),"")</f>
        <v/>
      </c>
      <c r="AL97" s="165" t="str">
        <f>IFERROR(VALUE(LEFT(OpenPendingCases[[#This Row],[Price]],FIND(" ",OpenPendingCases[[#This Row],[Price]])-1)),"")</f>
        <v/>
      </c>
      <c r="AM97" s="165" t="str">
        <f>IFERROR(VALUE(_xlfn.TEXTBEFORE(OpenPendingCases[[#This Row],[Price]]," AED")),"")</f>
        <v/>
      </c>
      <c r="AN97" s="165"/>
    </row>
    <row r="98" spans="3:40" ht="18" hidden="1" x14ac:dyDescent="0.35">
      <c r="C98" s="148">
        <v>97</v>
      </c>
      <c r="D98" s="137" t="str">
        <f>IF($U98="Open Sale", IF(MAX($D$4:D97)+1=0, "", MAX($D$4:D97)+1), "")</f>
        <v/>
      </c>
      <c r="E98" s="137" t="str">
        <f>IF($U98="Pending Allocation", IF(MAX($E$4:E97)+1=0, "", MAX($E$4:E97)+1), "")</f>
        <v/>
      </c>
      <c r="F98" s="137"/>
      <c r="G98" s="137"/>
      <c r="H98" s="150"/>
      <c r="I98" s="150"/>
      <c r="J98" s="68" t="str">
        <f>IF(OpenPendingCases[[#This Row],[Timepiece Reference ]]="", "", IF(_xlfn.XLOOKUP(OpenPendingCases[[#This Row],[Timepiece Reference ]], Table1[[Timepiece Reference ]], Table1[CRC STOCK], "Not Found")="YES", "CRC Stock", "Boutique Stock"))</f>
        <v/>
      </c>
      <c r="K98" s="137" t="str">
        <f>IF(OpenPendingCases[[#This Row],[Timepiece Reference ]]="", "", IF(_xlfn.XLOOKUP(OpenPendingCases[[#This Row],[Timepiece Reference ]], Table1[[Timepiece Reference ]], Table1[CRC STOCK], "Not Found")="YES", "CRC Stock", "Boutique Stock"))</f>
        <v/>
      </c>
      <c r="L98" s="140"/>
      <c r="M98" s="141"/>
      <c r="N98" s="137"/>
      <c r="O98" s="134"/>
      <c r="P98" s="94" t="str">
        <f>IFERROR(VLOOKUP(TRIM(O98), Collection!$B$2:$D$1001, 2, FALSE), "")</f>
        <v/>
      </c>
      <c r="Q98" s="190" t="str">
        <f>IFERROR(VLOOKUP(TRIM(O98), Collection!$B$2:$D$1001, 3, FALSE), "")</f>
        <v/>
      </c>
      <c r="R98" s="153" t="str">
        <f t="shared" si="8"/>
        <v/>
      </c>
      <c r="S98" s="151"/>
      <c r="T98" s="158"/>
      <c r="U98" s="137"/>
      <c r="V98" s="137"/>
      <c r="W98" s="156" t="str">
        <f t="shared" si="15"/>
        <v/>
      </c>
      <c r="X98" s="157"/>
      <c r="Y98" s="158"/>
      <c r="Z98" s="158"/>
      <c r="AA98" s="137" t="str">
        <f t="shared" ca="1" si="13"/>
        <v/>
      </c>
      <c r="AB98" s="137" t="str">
        <f t="shared" ca="1" si="9"/>
        <v/>
      </c>
      <c r="AC98" s="160" t="str">
        <f t="shared" ca="1" si="10"/>
        <v/>
      </c>
      <c r="AD98" s="159" t="str">
        <f t="shared" ca="1" si="11"/>
        <v/>
      </c>
      <c r="AE98" s="161"/>
      <c r="AF98" s="161"/>
      <c r="AG98" s="161"/>
      <c r="AH98" s="137"/>
      <c r="AI98" s="164" t="str">
        <f t="shared" si="14"/>
        <v/>
      </c>
      <c r="AJ98" s="164" t="str">
        <f>IF(AND(OpenPendingCases[[#This Row],[Sale Status	]]="Open Sale",OpenPendingCases[[#This Row],[Potential Same Month]]="High"),TEXT(OpenPendingCases[[#This Row],[Request Entry Date]], "[$-en-us]mmmm"),"")</f>
        <v/>
      </c>
      <c r="AK98" s="165" t="str">
        <f>IFERROR(VALUE(SUBSTITUTE(OpenPendingCases[[#This Row],[Price]]," AED","")),"")</f>
        <v/>
      </c>
      <c r="AL98" s="165" t="str">
        <f>IFERROR(VALUE(LEFT(OpenPendingCases[[#This Row],[Price]],FIND(" ",OpenPendingCases[[#This Row],[Price]])-1)),"")</f>
        <v/>
      </c>
      <c r="AM98" s="165" t="str">
        <f>IFERROR(VALUE(_xlfn.TEXTBEFORE(OpenPendingCases[[#This Row],[Price]]," AED")),"")</f>
        <v/>
      </c>
      <c r="AN98" s="165"/>
    </row>
    <row r="99" spans="3:40" ht="18" hidden="1" x14ac:dyDescent="0.35">
      <c r="C99" s="148">
        <v>98</v>
      </c>
      <c r="D99" s="137" t="str">
        <f>IF($U99="Open Sale", IF(MAX($D$4:D98)+1=0, "", MAX($D$4:D98)+1), "")</f>
        <v/>
      </c>
      <c r="E99" s="137" t="str">
        <f>IF($U99="Pending Allocation", IF(MAX($E$4:E98)+1=0, "", MAX($E$4:E98)+1), "")</f>
        <v/>
      </c>
      <c r="F99" s="137"/>
      <c r="G99" s="137"/>
      <c r="H99" s="150"/>
      <c r="I99" s="150"/>
      <c r="J99" s="68" t="str">
        <f>IF(OpenPendingCases[[#This Row],[Timepiece Reference ]]="", "", IF(_xlfn.XLOOKUP(OpenPendingCases[[#This Row],[Timepiece Reference ]], Table1[[Timepiece Reference ]], Table1[CRC STOCK], "Not Found")="YES", "CRC Stock", "Boutique Stock"))</f>
        <v/>
      </c>
      <c r="K99" s="137" t="str">
        <f>IF(OpenPendingCases[[#This Row],[Timepiece Reference ]]="", "", IF(_xlfn.XLOOKUP(OpenPendingCases[[#This Row],[Timepiece Reference ]], Table1[[Timepiece Reference ]], Table1[CRC STOCK], "Not Found")="YES", "CRC Stock", "Boutique Stock"))</f>
        <v/>
      </c>
      <c r="L99" s="140"/>
      <c r="M99" s="141"/>
      <c r="N99" s="137"/>
      <c r="O99" s="134"/>
      <c r="P99" s="94" t="str">
        <f>IFERROR(VLOOKUP(TRIM(O99), Collection!$B$2:$D$1001, 2, FALSE), "")</f>
        <v/>
      </c>
      <c r="Q99" s="190" t="str">
        <f>IFERROR(VLOOKUP(TRIM(O99), Collection!$B$2:$D$1001, 3, FALSE), "")</f>
        <v/>
      </c>
      <c r="R99" s="153" t="str">
        <f t="shared" si="8"/>
        <v/>
      </c>
      <c r="S99" s="151"/>
      <c r="T99" s="158"/>
      <c r="U99" s="137"/>
      <c r="V99" s="137"/>
      <c r="W99" s="156" t="str">
        <f t="shared" si="15"/>
        <v/>
      </c>
      <c r="X99" s="157"/>
      <c r="Y99" s="158"/>
      <c r="Z99" s="158"/>
      <c r="AA99" s="137" t="str">
        <f t="shared" ca="1" si="13"/>
        <v/>
      </c>
      <c r="AB99" s="137" t="str">
        <f t="shared" ca="1" si="9"/>
        <v/>
      </c>
      <c r="AC99" s="160" t="str">
        <f t="shared" ca="1" si="10"/>
        <v/>
      </c>
      <c r="AD99" s="159" t="str">
        <f t="shared" ca="1" si="11"/>
        <v/>
      </c>
      <c r="AE99" s="161"/>
      <c r="AF99" s="161"/>
      <c r="AG99" s="161"/>
      <c r="AH99" s="137"/>
      <c r="AI99" s="164" t="str">
        <f t="shared" si="14"/>
        <v/>
      </c>
      <c r="AJ99" s="164" t="str">
        <f>IF(AND(OpenPendingCases[[#This Row],[Sale Status	]]="Open Sale",OpenPendingCases[[#This Row],[Potential Same Month]]="High"),TEXT(OpenPendingCases[[#This Row],[Request Entry Date]], "[$-en-us]mmmm"),"")</f>
        <v/>
      </c>
      <c r="AK99" s="165" t="str">
        <f>IFERROR(VALUE(SUBSTITUTE(OpenPendingCases[[#This Row],[Price]]," AED","")),"")</f>
        <v/>
      </c>
      <c r="AL99" s="165" t="str">
        <f>IFERROR(VALUE(LEFT(OpenPendingCases[[#This Row],[Price]],FIND(" ",OpenPendingCases[[#This Row],[Price]])-1)),"")</f>
        <v/>
      </c>
      <c r="AM99" s="165" t="str">
        <f>IFERROR(VALUE(_xlfn.TEXTBEFORE(OpenPendingCases[[#This Row],[Price]]," AED")),"")</f>
        <v/>
      </c>
      <c r="AN99" s="165"/>
    </row>
    <row r="100" spans="3:40" ht="18" hidden="1" x14ac:dyDescent="0.35">
      <c r="C100" s="148">
        <v>99</v>
      </c>
      <c r="D100" s="137" t="str">
        <f>IF($U100="Open Sale", IF(MAX($D$4:D99)+1=0, "", MAX($D$4:D99)+1), "")</f>
        <v/>
      </c>
      <c r="E100" s="137" t="str">
        <f>IF($U100="Pending Allocation", IF(MAX($E$4:E99)+1=0, "", MAX($E$4:E99)+1), "")</f>
        <v/>
      </c>
      <c r="F100" s="137"/>
      <c r="G100" s="137"/>
      <c r="H100" s="150"/>
      <c r="I100" s="150"/>
      <c r="J100" s="68" t="str">
        <f>IF(OpenPendingCases[[#This Row],[Timepiece Reference ]]="", "", IF(_xlfn.XLOOKUP(OpenPendingCases[[#This Row],[Timepiece Reference ]], Table1[[Timepiece Reference ]], Table1[CRC STOCK], "Not Found")="YES", "CRC Stock", "Boutique Stock"))</f>
        <v/>
      </c>
      <c r="K100" s="137" t="str">
        <f>IF(OpenPendingCases[[#This Row],[Timepiece Reference ]]="", "", IF(_xlfn.XLOOKUP(OpenPendingCases[[#This Row],[Timepiece Reference ]], Table1[[Timepiece Reference ]], Table1[CRC STOCK], "Not Found")="YES", "CRC Stock", "Boutique Stock"))</f>
        <v/>
      </c>
      <c r="L100" s="140"/>
      <c r="M100" s="141"/>
      <c r="N100" s="137"/>
      <c r="O100" s="134"/>
      <c r="P100" s="94" t="str">
        <f>IFERROR(VLOOKUP(TRIM(O100), Collection!$B$2:$D$1001, 2, FALSE), "")</f>
        <v/>
      </c>
      <c r="Q100" s="190" t="str">
        <f>IFERROR(VLOOKUP(TRIM(O100), Collection!$B$2:$D$1001, 3, FALSE), "")</f>
        <v/>
      </c>
      <c r="R100" s="153" t="str">
        <f t="shared" si="8"/>
        <v/>
      </c>
      <c r="S100" s="151"/>
      <c r="T100" s="158"/>
      <c r="U100" s="137"/>
      <c r="V100" s="137"/>
      <c r="W100" s="156" t="str">
        <f t="shared" si="15"/>
        <v/>
      </c>
      <c r="X100" s="157"/>
      <c r="Y100" s="158"/>
      <c r="Z100" s="158"/>
      <c r="AA100" s="137" t="str">
        <f t="shared" ca="1" si="13"/>
        <v/>
      </c>
      <c r="AB100" s="137" t="str">
        <f t="shared" ca="1" si="9"/>
        <v/>
      </c>
      <c r="AC100" s="160" t="str">
        <f t="shared" ca="1" si="10"/>
        <v/>
      </c>
      <c r="AD100" s="159" t="str">
        <f t="shared" ca="1" si="11"/>
        <v/>
      </c>
      <c r="AE100" s="161"/>
      <c r="AF100" s="161"/>
      <c r="AG100" s="161"/>
      <c r="AH100" s="137"/>
      <c r="AI100" s="164" t="str">
        <f t="shared" si="14"/>
        <v/>
      </c>
      <c r="AJ100" s="164" t="str">
        <f>IF(AND(OpenPendingCases[[#This Row],[Sale Status	]]="Open Sale",OpenPendingCases[[#This Row],[Potential Same Month]]="High"),TEXT(OpenPendingCases[[#This Row],[Request Entry Date]], "[$-en-us]mmmm"),"")</f>
        <v/>
      </c>
      <c r="AK100" s="165" t="str">
        <f>IFERROR(VALUE(SUBSTITUTE(OpenPendingCases[[#This Row],[Price]]," AED","")),"")</f>
        <v/>
      </c>
      <c r="AL100" s="165" t="str">
        <f>IFERROR(VALUE(LEFT(OpenPendingCases[[#This Row],[Price]],FIND(" ",OpenPendingCases[[#This Row],[Price]])-1)),"")</f>
        <v/>
      </c>
      <c r="AM100" s="165" t="str">
        <f>IFERROR(VALUE(_xlfn.TEXTBEFORE(OpenPendingCases[[#This Row],[Price]]," AED")),"")</f>
        <v/>
      </c>
      <c r="AN100" s="165"/>
    </row>
    <row r="101" spans="3:40" ht="18" hidden="1" x14ac:dyDescent="0.35">
      <c r="C101" s="148">
        <v>100</v>
      </c>
      <c r="D101" s="137" t="str">
        <f>IF($U101="Open Sale", IF(MAX($D$4:D100)+1=0, "", MAX($D$4:D100)+1), "")</f>
        <v/>
      </c>
      <c r="E101" s="137" t="str">
        <f>IF($U101="Pending Allocation", IF(MAX($E$4:E100)+1=0, "", MAX($E$4:E100)+1), "")</f>
        <v/>
      </c>
      <c r="F101" s="137"/>
      <c r="G101" s="137"/>
      <c r="H101" s="150"/>
      <c r="I101" s="150"/>
      <c r="J101" s="68" t="str">
        <f>IF(OpenPendingCases[[#This Row],[Timepiece Reference ]]="", "", IF(_xlfn.XLOOKUP(OpenPendingCases[[#This Row],[Timepiece Reference ]], Table1[[Timepiece Reference ]], Table1[CRC STOCK], "Not Found")="YES", "CRC Stock", "Boutique Stock"))</f>
        <v/>
      </c>
      <c r="K101" s="137" t="str">
        <f>IF(OpenPendingCases[[#This Row],[Timepiece Reference ]]="", "", IF(_xlfn.XLOOKUP(OpenPendingCases[[#This Row],[Timepiece Reference ]], Table1[[Timepiece Reference ]], Table1[CRC STOCK], "Not Found")="YES", "CRC Stock", "Boutique Stock"))</f>
        <v/>
      </c>
      <c r="L101" s="140"/>
      <c r="M101" s="141"/>
      <c r="N101" s="137"/>
      <c r="O101" s="134"/>
      <c r="P101" s="94" t="str">
        <f>IFERROR(VLOOKUP(TRIM(O101), Collection!$B$2:$D$1001, 2, FALSE), "")</f>
        <v/>
      </c>
      <c r="Q101" s="190" t="str">
        <f>IFERROR(VLOOKUP(TRIM(O101), Collection!$B$2:$D$1001, 3, FALSE), "")</f>
        <v/>
      </c>
      <c r="R101" s="153" t="str">
        <f t="shared" si="8"/>
        <v/>
      </c>
      <c r="S101" s="151"/>
      <c r="T101" s="158"/>
      <c r="U101" s="137"/>
      <c r="V101" s="137"/>
      <c r="W101" s="156" t="str">
        <f t="shared" si="15"/>
        <v/>
      </c>
      <c r="X101" s="157"/>
      <c r="Y101" s="158"/>
      <c r="Z101" s="158"/>
      <c r="AA101" s="137" t="str">
        <f t="shared" ca="1" si="13"/>
        <v/>
      </c>
      <c r="AB101" s="137" t="str">
        <f t="shared" ca="1" si="9"/>
        <v/>
      </c>
      <c r="AC101" s="160" t="str">
        <f t="shared" ca="1" si="10"/>
        <v/>
      </c>
      <c r="AD101" s="159" t="str">
        <f t="shared" ca="1" si="11"/>
        <v/>
      </c>
      <c r="AE101" s="161"/>
      <c r="AF101" s="161"/>
      <c r="AG101" s="161"/>
      <c r="AH101" s="137"/>
      <c r="AI101" s="164" t="str">
        <f t="shared" si="14"/>
        <v/>
      </c>
      <c r="AJ101" s="164" t="str">
        <f>IF(AND(OpenPendingCases[[#This Row],[Sale Status	]]="Open Sale",OpenPendingCases[[#This Row],[Potential Same Month]]="High"),TEXT(OpenPendingCases[[#This Row],[Request Entry Date]], "[$-en-us]mmmm"),"")</f>
        <v/>
      </c>
      <c r="AK101" s="165" t="str">
        <f>IFERROR(VALUE(SUBSTITUTE(OpenPendingCases[[#This Row],[Price]]," AED","")),"")</f>
        <v/>
      </c>
      <c r="AL101" s="165" t="str">
        <f>IFERROR(VALUE(LEFT(OpenPendingCases[[#This Row],[Price]],FIND(" ",OpenPendingCases[[#This Row],[Price]])-1)),"")</f>
        <v/>
      </c>
      <c r="AM101" s="165" t="str">
        <f>IFERROR(VALUE(_xlfn.TEXTBEFORE(OpenPendingCases[[#This Row],[Price]]," AED")),"")</f>
        <v/>
      </c>
      <c r="AN101" s="165"/>
    </row>
    <row r="102" spans="3:40" ht="18" hidden="1" x14ac:dyDescent="0.35">
      <c r="C102" s="134"/>
      <c r="D102" s="137" t="str">
        <f>IF($U102="Open Sale", IF(MAX($D$4:D101)+1=0, "", MAX($D$4:D101)+1), "")</f>
        <v/>
      </c>
      <c r="E102" s="137" t="str">
        <f>IF($U102="Pending Allocation", IF(MAX($E$4:E101)+1=0, "", MAX($E$4:E101)+1), "")</f>
        <v/>
      </c>
      <c r="F102" s="137"/>
      <c r="G102" s="137"/>
      <c r="H102" s="150"/>
      <c r="I102" s="150"/>
      <c r="J102" s="68" t="str">
        <f>IF(OpenPendingCases[[#This Row],[Timepiece Reference ]]="", "", IF(_xlfn.XLOOKUP(OpenPendingCases[[#This Row],[Timepiece Reference ]], Table1[[Timepiece Reference ]], Table1[CRC STOCK], "Not Found")="YES", "CRC Stock", "Boutique Stock"))</f>
        <v/>
      </c>
      <c r="K102" s="137" t="str">
        <f>IF(OpenPendingCases[[#This Row],[Timepiece Reference ]]="", "", IF(_xlfn.XLOOKUP(OpenPendingCases[[#This Row],[Timepiece Reference ]], Table1[[Timepiece Reference ]], Table1[CRC STOCK], "Not Found")="YES", "CRC Stock", "Boutique Stock"))</f>
        <v/>
      </c>
      <c r="L102" s="140"/>
      <c r="M102" s="141"/>
      <c r="N102" s="137"/>
      <c r="O102" s="134"/>
      <c r="P102" s="94" t="str">
        <f>IFERROR(VLOOKUP(TRIM(O102), Collection!$B$2:$D$1001, 2, FALSE), "")</f>
        <v/>
      </c>
      <c r="Q102" s="190" t="str">
        <f>IFERROR(VLOOKUP(TRIM(O102), Collection!$B$2:$D$1001, 3, FALSE), "")</f>
        <v/>
      </c>
      <c r="R102" s="153" t="str">
        <f t="shared" si="8"/>
        <v/>
      </c>
      <c r="S102" s="151"/>
      <c r="T102" s="158"/>
      <c r="U102" s="137"/>
      <c r="V102" s="137"/>
      <c r="W102" s="156" t="str">
        <f t="shared" si="15"/>
        <v/>
      </c>
      <c r="X102" s="157"/>
      <c r="Y102" s="158"/>
      <c r="Z102" s="158"/>
      <c r="AA102" s="137" t="str">
        <f t="shared" ca="1" si="13"/>
        <v/>
      </c>
      <c r="AB102" s="137" t="str">
        <f t="shared" ca="1" si="9"/>
        <v/>
      </c>
      <c r="AC102" s="160" t="str">
        <f t="shared" ca="1" si="10"/>
        <v/>
      </c>
      <c r="AD102" s="159" t="str">
        <f t="shared" ca="1" si="11"/>
        <v/>
      </c>
      <c r="AE102" s="161"/>
      <c r="AF102" s="161"/>
      <c r="AG102" s="161"/>
      <c r="AH102" s="137"/>
      <c r="AI102" s="164" t="str">
        <f t="shared" si="14"/>
        <v/>
      </c>
      <c r="AJ102" s="164" t="str">
        <f>IF(AND(OpenPendingCases[[#This Row],[Sale Status	]]="Open Sale",OpenPendingCases[[#This Row],[Potential Same Month]]="High"),TEXT(OpenPendingCases[[#This Row],[Request Entry Date]], "[$-en-us]mmmm"),"")</f>
        <v/>
      </c>
      <c r="AK102" s="165" t="str">
        <f>IFERROR(VALUE(SUBSTITUTE(OpenPendingCases[[#This Row],[Price]]," AED","")),"")</f>
        <v/>
      </c>
      <c r="AL102" s="165" t="str">
        <f>IFERROR(VALUE(LEFT(OpenPendingCases[[#This Row],[Price]],FIND(" ",OpenPendingCases[[#This Row],[Price]])-1)),"")</f>
        <v/>
      </c>
      <c r="AM102" s="165" t="str">
        <f>IFERROR(VALUE(_xlfn.TEXTBEFORE(OpenPendingCases[[#This Row],[Price]]," AED")),"")</f>
        <v/>
      </c>
      <c r="AN102" s="165"/>
    </row>
    <row r="103" spans="3:40" ht="18" hidden="1" x14ac:dyDescent="0.35">
      <c r="C103" s="134"/>
      <c r="D103" s="137" t="str">
        <f>IF($U103="Open Sale", IF(MAX($D$4:D102)+1=0, "", MAX($D$4:D102)+1), "")</f>
        <v/>
      </c>
      <c r="E103" s="137" t="str">
        <f>IF($U103="Pending Allocation", IF(MAX($E$4:E102)+1=0, "", MAX($E$4:E102)+1), "")</f>
        <v/>
      </c>
      <c r="F103" s="137"/>
      <c r="G103" s="137"/>
      <c r="H103" s="150"/>
      <c r="I103" s="150"/>
      <c r="J103" s="68" t="str">
        <f>IF(OpenPendingCases[[#This Row],[Timepiece Reference ]]="", "", IF(_xlfn.XLOOKUP(OpenPendingCases[[#This Row],[Timepiece Reference ]], Table1[[Timepiece Reference ]], Table1[CRC STOCK], "Not Found")="YES", "CRC Stock", "Boutique Stock"))</f>
        <v/>
      </c>
      <c r="K103" s="137" t="str">
        <f>IF(OpenPendingCases[[#This Row],[Timepiece Reference ]]="", "", IF(_xlfn.XLOOKUP(OpenPendingCases[[#This Row],[Timepiece Reference ]], Table1[[Timepiece Reference ]], Table1[CRC STOCK], "Not Found")="YES", "CRC Stock", "Boutique Stock"))</f>
        <v/>
      </c>
      <c r="L103" s="140"/>
      <c r="M103" s="141"/>
      <c r="N103" s="137"/>
      <c r="O103" s="134"/>
      <c r="P103" s="94" t="str">
        <f>IFERROR(VLOOKUP(TRIM(O103), Collection!$B$2:$D$1001, 2, FALSE), "")</f>
        <v/>
      </c>
      <c r="Q103" s="190" t="str">
        <f>IFERROR(VLOOKUP(TRIM(O103), Collection!$B$2:$D$1001, 3, FALSE), "")</f>
        <v/>
      </c>
      <c r="R103" s="153" t="str">
        <f t="shared" si="8"/>
        <v/>
      </c>
      <c r="S103" s="151"/>
      <c r="T103" s="158"/>
      <c r="U103" s="137"/>
      <c r="V103" s="137"/>
      <c r="W103" s="156" t="str">
        <f t="shared" si="15"/>
        <v/>
      </c>
      <c r="X103" s="157"/>
      <c r="Y103" s="158"/>
      <c r="Z103" s="158"/>
      <c r="AA103" s="137" t="str">
        <f t="shared" ca="1" si="13"/>
        <v/>
      </c>
      <c r="AB103" s="137" t="str">
        <f t="shared" ca="1" si="9"/>
        <v/>
      </c>
      <c r="AC103" s="160" t="str">
        <f t="shared" ca="1" si="10"/>
        <v/>
      </c>
      <c r="AD103" s="159" t="str">
        <f t="shared" ca="1" si="11"/>
        <v/>
      </c>
      <c r="AE103" s="161"/>
      <c r="AF103" s="161"/>
      <c r="AG103" s="161"/>
      <c r="AH103" s="137"/>
      <c r="AI103" s="164" t="str">
        <f t="shared" si="14"/>
        <v/>
      </c>
      <c r="AJ103" s="164" t="str">
        <f>IF(AND(OpenPendingCases[[#This Row],[Sale Status	]]="Open Sale",OpenPendingCases[[#This Row],[Potential Same Month]]="High"),TEXT(OpenPendingCases[[#This Row],[Request Entry Date]], "[$-en-us]mmmm"),"")</f>
        <v/>
      </c>
      <c r="AK103" s="165" t="str">
        <f>IFERROR(VALUE(SUBSTITUTE(OpenPendingCases[[#This Row],[Price]]," AED","")),"")</f>
        <v/>
      </c>
      <c r="AL103" s="165" t="str">
        <f>IFERROR(VALUE(LEFT(OpenPendingCases[[#This Row],[Price]],FIND(" ",OpenPendingCases[[#This Row],[Price]])-1)),"")</f>
        <v/>
      </c>
      <c r="AM103" s="165" t="str">
        <f>IFERROR(VALUE(_xlfn.TEXTBEFORE(OpenPendingCases[[#This Row],[Price]]," AED")),"")</f>
        <v/>
      </c>
      <c r="AN103" s="165"/>
    </row>
    <row r="104" spans="3:40" ht="18" hidden="1" x14ac:dyDescent="0.35">
      <c r="C104" s="134"/>
      <c r="D104" s="137" t="str">
        <f>IF($U104="Open Sale", IF(MAX($D$4:D103)+1=0, "", MAX($D$4:D103)+1), "")</f>
        <v/>
      </c>
      <c r="E104" s="137" t="str">
        <f>IF($U104="Pending Allocation", IF(MAX($E$4:E103)+1=0, "", MAX($E$4:E103)+1), "")</f>
        <v/>
      </c>
      <c r="F104" s="137"/>
      <c r="G104" s="137"/>
      <c r="H104" s="150"/>
      <c r="I104" s="150"/>
      <c r="J104" s="68" t="str">
        <f>IF(OpenPendingCases[[#This Row],[Timepiece Reference ]]="", "", IF(_xlfn.XLOOKUP(OpenPendingCases[[#This Row],[Timepiece Reference ]], Table1[[Timepiece Reference ]], Table1[CRC STOCK], "Not Found")="YES", "CRC Stock", "Boutique Stock"))</f>
        <v/>
      </c>
      <c r="K104" s="137" t="str">
        <f>IF(OpenPendingCases[[#This Row],[Timepiece Reference ]]="", "", IF(_xlfn.XLOOKUP(OpenPendingCases[[#This Row],[Timepiece Reference ]], Table1[[Timepiece Reference ]], Table1[CRC STOCK], "Not Found")="YES", "CRC Stock", "Boutique Stock"))</f>
        <v/>
      </c>
      <c r="L104" s="140"/>
      <c r="M104" s="141"/>
      <c r="N104" s="137"/>
      <c r="O104" s="134"/>
      <c r="P104" s="94" t="str">
        <f>IFERROR(VLOOKUP(TRIM(O104), Collection!$B$2:$D$1001, 2, FALSE), "")</f>
        <v/>
      </c>
      <c r="Q104" s="190" t="str">
        <f>IFERROR(VLOOKUP(TRIM(O104), Collection!$B$2:$D$1001, 3, FALSE), "")</f>
        <v/>
      </c>
      <c r="R104" s="153" t="str">
        <f t="shared" si="8"/>
        <v/>
      </c>
      <c r="S104" s="151"/>
      <c r="T104" s="158"/>
      <c r="U104" s="137"/>
      <c r="V104" s="137"/>
      <c r="W104" s="156" t="str">
        <f t="shared" si="15"/>
        <v/>
      </c>
      <c r="X104" s="157"/>
      <c r="Y104" s="158"/>
      <c r="Z104" s="158"/>
      <c r="AA104" s="137" t="str">
        <f t="shared" ca="1" si="13"/>
        <v/>
      </c>
      <c r="AB104" s="137" t="str">
        <f t="shared" ca="1" si="9"/>
        <v/>
      </c>
      <c r="AC104" s="160" t="str">
        <f t="shared" ca="1" si="10"/>
        <v/>
      </c>
      <c r="AD104" s="159" t="str">
        <f t="shared" ca="1" si="11"/>
        <v/>
      </c>
      <c r="AE104" s="161"/>
      <c r="AF104" s="161"/>
      <c r="AG104" s="161"/>
      <c r="AH104" s="137"/>
      <c r="AI104" s="164" t="str">
        <f t="shared" si="14"/>
        <v/>
      </c>
      <c r="AJ104" s="164" t="str">
        <f>IF(AND(OpenPendingCases[[#This Row],[Sale Status	]]="Open Sale",OpenPendingCases[[#This Row],[Potential Same Month]]="High"),TEXT(OpenPendingCases[[#This Row],[Request Entry Date]], "[$-en-us]mmmm"),"")</f>
        <v/>
      </c>
      <c r="AK104" s="165" t="str">
        <f>IFERROR(VALUE(SUBSTITUTE(OpenPendingCases[[#This Row],[Price]]," AED","")),"")</f>
        <v/>
      </c>
      <c r="AL104" s="165" t="str">
        <f>IFERROR(VALUE(LEFT(OpenPendingCases[[#This Row],[Price]],FIND(" ",OpenPendingCases[[#This Row],[Price]])-1)),"")</f>
        <v/>
      </c>
      <c r="AM104" s="165" t="str">
        <f>IFERROR(VALUE(_xlfn.TEXTBEFORE(OpenPendingCases[[#This Row],[Price]]," AED")),"")</f>
        <v/>
      </c>
      <c r="AN104" s="165"/>
    </row>
    <row r="105" spans="3:40" ht="18" hidden="1" x14ac:dyDescent="0.35">
      <c r="C105" s="134"/>
      <c r="D105" s="137" t="str">
        <f>IF($U105="Open Sale", IF(MAX($D$4:D104)+1=0, "", MAX($D$4:D104)+1), "")</f>
        <v/>
      </c>
      <c r="E105" s="137" t="str">
        <f>IF($U105="Pending Allocation", IF(MAX($E$4:E104)+1=0, "", MAX($E$4:E104)+1), "")</f>
        <v/>
      </c>
      <c r="F105" s="137"/>
      <c r="G105" s="137"/>
      <c r="H105" s="150"/>
      <c r="I105" s="150"/>
      <c r="J105" s="68" t="str">
        <f>IF(OpenPendingCases[[#This Row],[Timepiece Reference ]]="", "", IF(_xlfn.XLOOKUP(OpenPendingCases[[#This Row],[Timepiece Reference ]], Table1[[Timepiece Reference ]], Table1[CRC STOCK], "Not Found")="YES", "CRC Stock", "Boutique Stock"))</f>
        <v/>
      </c>
      <c r="K105" s="137" t="str">
        <f>IF(OpenPendingCases[[#This Row],[Timepiece Reference ]]="", "", IF(_xlfn.XLOOKUP(OpenPendingCases[[#This Row],[Timepiece Reference ]], Table1[[Timepiece Reference ]], Table1[CRC STOCK], "Not Found")="YES", "CRC Stock", "Boutique Stock"))</f>
        <v/>
      </c>
      <c r="L105" s="140"/>
      <c r="M105" s="141"/>
      <c r="N105" s="137"/>
      <c r="O105" s="134"/>
      <c r="P105" s="94" t="str">
        <f>IFERROR(VLOOKUP(TRIM(O105), Collection!$B$2:$D$1001, 2, FALSE), "")</f>
        <v/>
      </c>
      <c r="Q105" s="190" t="str">
        <f>IFERROR(VLOOKUP(TRIM(O105), Collection!$B$2:$D$1001, 3, FALSE), "")</f>
        <v/>
      </c>
      <c r="R105" s="153" t="str">
        <f t="shared" si="8"/>
        <v/>
      </c>
      <c r="S105" s="151"/>
      <c r="T105" s="158"/>
      <c r="U105" s="137"/>
      <c r="V105" s="137"/>
      <c r="W105" s="156" t="str">
        <f t="shared" si="15"/>
        <v/>
      </c>
      <c r="X105" s="157"/>
      <c r="Y105" s="158"/>
      <c r="Z105" s="158"/>
      <c r="AA105" s="137" t="str">
        <f t="shared" ca="1" si="13"/>
        <v/>
      </c>
      <c r="AB105" s="137" t="str">
        <f t="shared" ca="1" si="9"/>
        <v/>
      </c>
      <c r="AC105" s="160" t="str">
        <f t="shared" ca="1" si="10"/>
        <v/>
      </c>
      <c r="AD105" s="159" t="str">
        <f t="shared" ca="1" si="11"/>
        <v/>
      </c>
      <c r="AE105" s="161"/>
      <c r="AF105" s="161"/>
      <c r="AG105" s="161"/>
      <c r="AH105" s="137"/>
      <c r="AI105" s="164" t="str">
        <f t="shared" si="14"/>
        <v/>
      </c>
      <c r="AJ105" s="164" t="str">
        <f>IF(AND(OpenPendingCases[[#This Row],[Sale Status	]]="Open Sale",OpenPendingCases[[#This Row],[Potential Same Month]]="High"),TEXT(OpenPendingCases[[#This Row],[Request Entry Date]], "[$-en-us]mmmm"),"")</f>
        <v/>
      </c>
      <c r="AK105" s="165" t="str">
        <f>IFERROR(VALUE(SUBSTITUTE(OpenPendingCases[[#This Row],[Price]]," AED","")),"")</f>
        <v/>
      </c>
      <c r="AL105" s="165" t="str">
        <f>IFERROR(VALUE(LEFT(OpenPendingCases[[#This Row],[Price]],FIND(" ",OpenPendingCases[[#This Row],[Price]])-1)),"")</f>
        <v/>
      </c>
      <c r="AM105" s="165" t="str">
        <f>IFERROR(VALUE(_xlfn.TEXTBEFORE(OpenPendingCases[[#This Row],[Price]]," AED")),"")</f>
        <v/>
      </c>
      <c r="AN105" s="165"/>
    </row>
    <row r="106" spans="3:40" ht="18" hidden="1" x14ac:dyDescent="0.35">
      <c r="C106" s="134"/>
      <c r="D106" s="137" t="str">
        <f>IF($U106="Open Sale", IF(MAX($D$4:D105)+1=0, "", MAX($D$4:D105)+1), "")</f>
        <v/>
      </c>
      <c r="E106" s="137" t="str">
        <f>IF($U106="Pending Allocation", IF(MAX($E$4:E105)+1=0, "", MAX($E$4:E105)+1), "")</f>
        <v/>
      </c>
      <c r="F106" s="137"/>
      <c r="G106" s="137"/>
      <c r="H106" s="150"/>
      <c r="I106" s="150"/>
      <c r="J106" s="68" t="str">
        <f>IF(OpenPendingCases[[#This Row],[Timepiece Reference ]]="", "", IF(_xlfn.XLOOKUP(OpenPendingCases[[#This Row],[Timepiece Reference ]], Table1[[Timepiece Reference ]], Table1[CRC STOCK], "Not Found")="YES", "CRC Stock", "Boutique Stock"))</f>
        <v/>
      </c>
      <c r="K106" s="137" t="str">
        <f>IF(OpenPendingCases[[#This Row],[Timepiece Reference ]]="", "", IF(_xlfn.XLOOKUP(OpenPendingCases[[#This Row],[Timepiece Reference ]], Table1[[Timepiece Reference ]], Table1[CRC STOCK], "Not Found")="YES", "CRC Stock", "Boutique Stock"))</f>
        <v/>
      </c>
      <c r="L106" s="140"/>
      <c r="M106" s="145"/>
      <c r="N106" s="137"/>
      <c r="O106" s="134"/>
      <c r="P106" s="94" t="str">
        <f>IFERROR(VLOOKUP(TRIM(O106), Collection!$B$2:$D$1001, 2, FALSE), "")</f>
        <v/>
      </c>
      <c r="Q106" s="190" t="str">
        <f>IFERROR(VLOOKUP(TRIM(O106), Collection!$B$2:$D$1001, 3, FALSE), "")</f>
        <v/>
      </c>
      <c r="R106" s="153" t="str">
        <f t="shared" si="8"/>
        <v/>
      </c>
      <c r="S106" s="151"/>
      <c r="T106" s="158"/>
      <c r="U106" s="137"/>
      <c r="V106" s="137"/>
      <c r="W106" s="156" t="str">
        <f t="shared" si="15"/>
        <v/>
      </c>
      <c r="X106" s="157"/>
      <c r="Y106" s="158"/>
      <c r="Z106" s="158"/>
      <c r="AA106" s="137" t="str">
        <f t="shared" ca="1" si="13"/>
        <v/>
      </c>
      <c r="AB106" s="137" t="str">
        <f t="shared" ca="1" si="9"/>
        <v/>
      </c>
      <c r="AC106" s="160" t="str">
        <f t="shared" ca="1" si="10"/>
        <v/>
      </c>
      <c r="AD106" s="159" t="str">
        <f t="shared" ca="1" si="11"/>
        <v/>
      </c>
      <c r="AE106" s="161"/>
      <c r="AF106" s="161"/>
      <c r="AG106" s="161"/>
      <c r="AH106" s="137"/>
      <c r="AI106" s="164" t="str">
        <f t="shared" si="14"/>
        <v/>
      </c>
      <c r="AJ106" s="164" t="str">
        <f>IF(AND(OpenPendingCases[[#This Row],[Sale Status	]]="Open Sale",OpenPendingCases[[#This Row],[Potential Same Month]]="High"),TEXT(OpenPendingCases[[#This Row],[Request Entry Date]], "[$-en-us]mmmm"),"")</f>
        <v/>
      </c>
      <c r="AK106" s="165" t="str">
        <f>IFERROR(VALUE(SUBSTITUTE(OpenPendingCases[[#This Row],[Price]]," AED","")),"")</f>
        <v/>
      </c>
      <c r="AL106" s="165" t="str">
        <f>IFERROR(VALUE(LEFT(OpenPendingCases[[#This Row],[Price]],FIND(" ",OpenPendingCases[[#This Row],[Price]])-1)),"")</f>
        <v/>
      </c>
      <c r="AM106" s="165" t="str">
        <f>IFERROR(VALUE(_xlfn.TEXTBEFORE(OpenPendingCases[[#This Row],[Price]]," AED")),"")</f>
        <v/>
      </c>
      <c r="AN106" s="165"/>
    </row>
    <row r="107" spans="3:40" ht="18" hidden="1" x14ac:dyDescent="0.35">
      <c r="C107" s="134"/>
      <c r="D107" s="137" t="str">
        <f>IF($U107="Open Sale", IF(MAX($D$4:D106)+1=0, "", MAX($D$4:D106)+1), "")</f>
        <v/>
      </c>
      <c r="E107" s="137" t="str">
        <f>IF($U107="Pending Allocation", IF(MAX($E$4:E106)+1=0, "", MAX($E$4:E106)+1), "")</f>
        <v/>
      </c>
      <c r="F107" s="137"/>
      <c r="G107" s="137"/>
      <c r="H107" s="150"/>
      <c r="I107" s="150"/>
      <c r="J107" s="68" t="str">
        <f>IF(OpenPendingCases[[#This Row],[Timepiece Reference ]]="", "", IF(_xlfn.XLOOKUP(OpenPendingCases[[#This Row],[Timepiece Reference ]], Table1[[Timepiece Reference ]], Table1[CRC STOCK], "Not Found")="YES", "CRC Stock", "Boutique Stock"))</f>
        <v/>
      </c>
      <c r="K107" s="137" t="str">
        <f>IF(OpenPendingCases[[#This Row],[Timepiece Reference ]]="", "", IF(_xlfn.XLOOKUP(OpenPendingCases[[#This Row],[Timepiece Reference ]], Table1[[Timepiece Reference ]], Table1[CRC STOCK], "Not Found")="YES", "CRC Stock", "Boutique Stock"))</f>
        <v/>
      </c>
      <c r="L107" s="140"/>
      <c r="M107" s="141"/>
      <c r="N107" s="137"/>
      <c r="O107" s="134"/>
      <c r="P107" s="94" t="str">
        <f>IFERROR(VLOOKUP(TRIM(O107), Collection!$B$2:$D$1001, 2, FALSE), "")</f>
        <v/>
      </c>
      <c r="Q107" s="190" t="str">
        <f>IFERROR(VLOOKUP(TRIM(O107), Collection!$B$2:$D$1001, 3, FALSE), "")</f>
        <v/>
      </c>
      <c r="R107" s="153" t="str">
        <f t="shared" si="8"/>
        <v/>
      </c>
      <c r="S107" s="151"/>
      <c r="T107" s="158"/>
      <c r="U107" s="137"/>
      <c r="V107" s="137"/>
      <c r="W107" s="156" t="str">
        <f t="shared" si="15"/>
        <v/>
      </c>
      <c r="X107" s="157"/>
      <c r="Y107" s="158"/>
      <c r="Z107" s="158"/>
      <c r="AA107" s="137" t="str">
        <f t="shared" ca="1" si="13"/>
        <v/>
      </c>
      <c r="AB107" s="137" t="str">
        <f t="shared" ca="1" si="9"/>
        <v/>
      </c>
      <c r="AC107" s="160" t="str">
        <f t="shared" ca="1" si="10"/>
        <v/>
      </c>
      <c r="AD107" s="159" t="str">
        <f t="shared" ca="1" si="11"/>
        <v/>
      </c>
      <c r="AE107" s="161"/>
      <c r="AF107" s="161"/>
      <c r="AG107" s="161"/>
      <c r="AH107" s="137"/>
      <c r="AI107" s="164" t="str">
        <f t="shared" si="14"/>
        <v/>
      </c>
      <c r="AJ107" s="164" t="str">
        <f>IF(AND(OpenPendingCases[[#This Row],[Sale Status	]]="Open Sale",OpenPendingCases[[#This Row],[Potential Same Month]]="High"),TEXT(OpenPendingCases[[#This Row],[Request Entry Date]], "[$-en-us]mmmm"),"")</f>
        <v/>
      </c>
      <c r="AK107" s="165" t="str">
        <f>IFERROR(VALUE(SUBSTITUTE(OpenPendingCases[[#This Row],[Price]]," AED","")),"")</f>
        <v/>
      </c>
      <c r="AL107" s="165" t="str">
        <f>IFERROR(VALUE(LEFT(OpenPendingCases[[#This Row],[Price]],FIND(" ",OpenPendingCases[[#This Row],[Price]])-1)),"")</f>
        <v/>
      </c>
      <c r="AM107" s="165" t="str">
        <f>IFERROR(VALUE(_xlfn.TEXTBEFORE(OpenPendingCases[[#This Row],[Price]]," AED")),"")</f>
        <v/>
      </c>
      <c r="AN107" s="165"/>
    </row>
    <row r="108" spans="3:40" ht="18" hidden="1" x14ac:dyDescent="0.35">
      <c r="C108" s="134"/>
      <c r="D108" s="137" t="str">
        <f>IF($U108="Open Sale", IF(MAX($D$4:D107)+1=0, "", MAX($D$4:D107)+1), "")</f>
        <v/>
      </c>
      <c r="E108" s="137" t="str">
        <f>IF($U108="Pending Allocation", IF(MAX($E$4:E107)+1=0, "", MAX($E$4:E107)+1), "")</f>
        <v/>
      </c>
      <c r="F108" s="137"/>
      <c r="G108" s="137"/>
      <c r="H108" s="150"/>
      <c r="I108" s="150"/>
      <c r="J108" s="68" t="str">
        <f>IF(OpenPendingCases[[#This Row],[Timepiece Reference ]]="", "", IF(_xlfn.XLOOKUP(OpenPendingCases[[#This Row],[Timepiece Reference ]], Table1[[Timepiece Reference ]], Table1[CRC STOCK], "Not Found")="YES", "CRC Stock", "Boutique Stock"))</f>
        <v/>
      </c>
      <c r="K108" s="137" t="str">
        <f>IF(OpenPendingCases[[#This Row],[Timepiece Reference ]]="", "", IF(_xlfn.XLOOKUP(OpenPendingCases[[#This Row],[Timepiece Reference ]], Table1[[Timepiece Reference ]], Table1[CRC STOCK], "Not Found")="YES", "CRC Stock", "Boutique Stock"))</f>
        <v/>
      </c>
      <c r="L108" s="140"/>
      <c r="M108" s="141"/>
      <c r="N108" s="137"/>
      <c r="O108" s="134"/>
      <c r="P108" s="94" t="str">
        <f>IFERROR(VLOOKUP(TRIM(O108), Collection!$B$2:$D$1001, 2, FALSE), "")</f>
        <v/>
      </c>
      <c r="Q108" s="190" t="str">
        <f>IFERROR(VLOOKUP(TRIM(O108), Collection!$B$2:$D$1001, 3, FALSE), "")</f>
        <v/>
      </c>
      <c r="R108" s="153" t="str">
        <f t="shared" si="8"/>
        <v/>
      </c>
      <c r="S108" s="151"/>
      <c r="T108" s="158"/>
      <c r="U108" s="137"/>
      <c r="V108" s="137"/>
      <c r="W108" s="156" t="str">
        <f t="shared" si="15"/>
        <v/>
      </c>
      <c r="X108" s="157"/>
      <c r="Y108" s="158"/>
      <c r="Z108" s="158"/>
      <c r="AA108" s="137" t="str">
        <f t="shared" ca="1" si="13"/>
        <v/>
      </c>
      <c r="AB108" s="137" t="str">
        <f t="shared" ca="1" si="9"/>
        <v/>
      </c>
      <c r="AC108" s="160" t="str">
        <f t="shared" ca="1" si="10"/>
        <v/>
      </c>
      <c r="AD108" s="159" t="str">
        <f t="shared" ca="1" si="11"/>
        <v/>
      </c>
      <c r="AE108" s="161"/>
      <c r="AF108" s="161"/>
      <c r="AG108" s="161"/>
      <c r="AH108" s="137"/>
      <c r="AI108" s="164" t="str">
        <f t="shared" si="14"/>
        <v/>
      </c>
      <c r="AJ108" s="164" t="str">
        <f>IF(AND(OpenPendingCases[[#This Row],[Sale Status	]]="Open Sale",OpenPendingCases[[#This Row],[Potential Same Month]]="High"),TEXT(OpenPendingCases[[#This Row],[Request Entry Date]], "[$-en-us]mmmm"),"")</f>
        <v/>
      </c>
      <c r="AK108" s="165" t="str">
        <f>IFERROR(VALUE(SUBSTITUTE(OpenPendingCases[[#This Row],[Price]]," AED","")),"")</f>
        <v/>
      </c>
      <c r="AL108" s="165" t="str">
        <f>IFERROR(VALUE(LEFT(OpenPendingCases[[#This Row],[Price]],FIND(" ",OpenPendingCases[[#This Row],[Price]])-1)),"")</f>
        <v/>
      </c>
      <c r="AM108" s="165" t="str">
        <f>IFERROR(VALUE(_xlfn.TEXTBEFORE(OpenPendingCases[[#This Row],[Price]]," AED")),"")</f>
        <v/>
      </c>
      <c r="AN108" s="165"/>
    </row>
    <row r="109" spans="3:40" ht="18" hidden="1" x14ac:dyDescent="0.35">
      <c r="C109" s="134"/>
      <c r="D109" s="137" t="str">
        <f>IF($U109="Open Sale", IF(MAX($D$4:D108)+1=0, "", MAX($D$4:D108)+1), "")</f>
        <v/>
      </c>
      <c r="E109" s="137" t="str">
        <f>IF($U109="Pending Allocation", IF(MAX($E$4:E108)+1=0, "", MAX($E$4:E108)+1), "")</f>
        <v/>
      </c>
      <c r="F109" s="137"/>
      <c r="G109" s="137"/>
      <c r="H109" s="150"/>
      <c r="I109" s="150"/>
      <c r="J109" s="68" t="str">
        <f>IF(OpenPendingCases[[#This Row],[Timepiece Reference ]]="", "", IF(_xlfn.XLOOKUP(OpenPendingCases[[#This Row],[Timepiece Reference ]], Table1[[Timepiece Reference ]], Table1[CRC STOCK], "Not Found")="YES", "CRC Stock", "Boutique Stock"))</f>
        <v/>
      </c>
      <c r="K109" s="137" t="str">
        <f>IF(OpenPendingCases[[#This Row],[Timepiece Reference ]]="", "", IF(_xlfn.XLOOKUP(OpenPendingCases[[#This Row],[Timepiece Reference ]], Table1[[Timepiece Reference ]], Table1[CRC STOCK], "Not Found")="YES", "CRC Stock", "Boutique Stock"))</f>
        <v/>
      </c>
      <c r="L109" s="140"/>
      <c r="M109" s="141"/>
      <c r="N109" s="137"/>
      <c r="O109" s="134"/>
      <c r="P109" s="94" t="str">
        <f>IFERROR(VLOOKUP(TRIM(O109), Collection!$B$2:$D$1001, 2, FALSE), "")</f>
        <v/>
      </c>
      <c r="Q109" s="190" t="str">
        <f>IFERROR(VLOOKUP(TRIM(O109), Collection!$B$2:$D$1001, 3, FALSE), "")</f>
        <v/>
      </c>
      <c r="R109" s="153" t="str">
        <f t="shared" si="8"/>
        <v/>
      </c>
      <c r="S109" s="151"/>
      <c r="T109" s="158"/>
      <c r="U109" s="137"/>
      <c r="V109" s="137"/>
      <c r="W109" s="156" t="str">
        <f t="shared" si="15"/>
        <v/>
      </c>
      <c r="X109" s="157"/>
      <c r="Y109" s="158"/>
      <c r="Z109" s="158"/>
      <c r="AA109" s="137" t="str">
        <f t="shared" ca="1" si="13"/>
        <v/>
      </c>
      <c r="AB109" s="137" t="str">
        <f t="shared" ca="1" si="9"/>
        <v/>
      </c>
      <c r="AC109" s="160" t="str">
        <f t="shared" ca="1" si="10"/>
        <v/>
      </c>
      <c r="AD109" s="159" t="str">
        <f t="shared" ca="1" si="11"/>
        <v/>
      </c>
      <c r="AE109" s="161"/>
      <c r="AF109" s="161"/>
      <c r="AG109" s="161"/>
      <c r="AH109" s="137"/>
      <c r="AI109" s="164" t="str">
        <f t="shared" si="14"/>
        <v/>
      </c>
      <c r="AJ109" s="164" t="str">
        <f>IF(AND(OpenPendingCases[[#This Row],[Sale Status	]]="Open Sale",OpenPendingCases[[#This Row],[Potential Same Month]]="High"),TEXT(OpenPendingCases[[#This Row],[Request Entry Date]], "[$-en-us]mmmm"),"")</f>
        <v/>
      </c>
      <c r="AK109" s="165" t="str">
        <f>IFERROR(VALUE(SUBSTITUTE(OpenPendingCases[[#This Row],[Price]]," AED","")),"")</f>
        <v/>
      </c>
      <c r="AL109" s="165" t="str">
        <f>IFERROR(VALUE(LEFT(OpenPendingCases[[#This Row],[Price]],FIND(" ",OpenPendingCases[[#This Row],[Price]])-1)),"")</f>
        <v/>
      </c>
      <c r="AM109" s="165" t="str">
        <f>IFERROR(VALUE(_xlfn.TEXTBEFORE(OpenPendingCases[[#This Row],[Price]]," AED")),"")</f>
        <v/>
      </c>
      <c r="AN109" s="165"/>
    </row>
    <row r="110" spans="3:40" ht="18" hidden="1" x14ac:dyDescent="0.35">
      <c r="C110" s="134"/>
      <c r="D110" s="137" t="str">
        <f>IF($U110="Open Sale", IF(MAX($D$4:D109)+1=0, "", MAX($D$4:D109)+1), "")</f>
        <v/>
      </c>
      <c r="E110" s="137" t="str">
        <f>IF($U110="Pending Allocation", IF(MAX($E$4:E109)+1=0, "", MAX($E$4:E109)+1), "")</f>
        <v/>
      </c>
      <c r="F110" s="137"/>
      <c r="G110" s="137"/>
      <c r="H110" s="150"/>
      <c r="I110" s="150"/>
      <c r="J110" s="68" t="str">
        <f>IF(OpenPendingCases[[#This Row],[Timepiece Reference ]]="", "", IF(_xlfn.XLOOKUP(OpenPendingCases[[#This Row],[Timepiece Reference ]], Table1[[Timepiece Reference ]], Table1[CRC STOCK], "Not Found")="YES", "CRC Stock", "Boutique Stock"))</f>
        <v/>
      </c>
      <c r="K110" s="137" t="str">
        <f>IF(OpenPendingCases[[#This Row],[Timepiece Reference ]]="", "", IF(_xlfn.XLOOKUP(OpenPendingCases[[#This Row],[Timepiece Reference ]], Table1[[Timepiece Reference ]], Table1[CRC STOCK], "Not Found")="YES", "CRC Stock", "Boutique Stock"))</f>
        <v/>
      </c>
      <c r="L110" s="140"/>
      <c r="M110" s="141"/>
      <c r="N110" s="137"/>
      <c r="O110" s="134"/>
      <c r="P110" s="94" t="str">
        <f>IFERROR(VLOOKUP(TRIM(O110), Collection!$B$2:$D$1001, 2, FALSE), "")</f>
        <v/>
      </c>
      <c r="Q110" s="190" t="str">
        <f>IFERROR(VLOOKUP(TRIM(O110), Collection!$B$2:$D$1001, 3, FALSE), "")</f>
        <v/>
      </c>
      <c r="R110" s="153" t="str">
        <f t="shared" si="8"/>
        <v/>
      </c>
      <c r="S110" s="151"/>
      <c r="T110" s="158"/>
      <c r="U110" s="137"/>
      <c r="V110" s="137"/>
      <c r="W110" s="156" t="str">
        <f t="shared" si="15"/>
        <v/>
      </c>
      <c r="X110" s="157"/>
      <c r="Y110" s="158"/>
      <c r="Z110" s="158"/>
      <c r="AA110" s="137" t="str">
        <f t="shared" ca="1" si="13"/>
        <v/>
      </c>
      <c r="AB110" s="137" t="str">
        <f t="shared" ca="1" si="9"/>
        <v/>
      </c>
      <c r="AC110" s="160" t="str">
        <f t="shared" ca="1" si="10"/>
        <v/>
      </c>
      <c r="AD110" s="159" t="str">
        <f t="shared" ca="1" si="11"/>
        <v/>
      </c>
      <c r="AE110" s="161"/>
      <c r="AF110" s="161"/>
      <c r="AG110" s="161"/>
      <c r="AH110" s="137"/>
      <c r="AI110" s="164" t="str">
        <f t="shared" si="14"/>
        <v/>
      </c>
      <c r="AJ110" s="164" t="str">
        <f>IF(AND(OpenPendingCases[[#This Row],[Sale Status	]]="Open Sale",OpenPendingCases[[#This Row],[Potential Same Month]]="High"),TEXT(OpenPendingCases[[#This Row],[Request Entry Date]], "[$-en-us]mmmm"),"")</f>
        <v/>
      </c>
      <c r="AK110" s="165" t="str">
        <f>IFERROR(VALUE(SUBSTITUTE(OpenPendingCases[[#This Row],[Price]]," AED","")),"")</f>
        <v/>
      </c>
      <c r="AL110" s="165" t="str">
        <f>IFERROR(VALUE(LEFT(OpenPendingCases[[#This Row],[Price]],FIND(" ",OpenPendingCases[[#This Row],[Price]])-1)),"")</f>
        <v/>
      </c>
      <c r="AM110" s="165" t="str">
        <f>IFERROR(VALUE(_xlfn.TEXTBEFORE(OpenPendingCases[[#This Row],[Price]]," AED")),"")</f>
        <v/>
      </c>
      <c r="AN110" s="165"/>
    </row>
    <row r="111" spans="3:40" ht="18" hidden="1" x14ac:dyDescent="0.35">
      <c r="C111" s="134"/>
      <c r="D111" s="137" t="str">
        <f>IF($U111="Open Sale", IF(MAX($D$4:D110)+1=0, "", MAX($D$4:D110)+1), "")</f>
        <v/>
      </c>
      <c r="E111" s="137" t="str">
        <f>IF($U111="Pending Allocation", IF(MAX($E$4:E110)+1=0, "", MAX($E$4:E110)+1), "")</f>
        <v/>
      </c>
      <c r="F111" s="137"/>
      <c r="G111" s="137"/>
      <c r="H111" s="150"/>
      <c r="I111" s="150"/>
      <c r="J111" s="68" t="str">
        <f>IF(OpenPendingCases[[#This Row],[Timepiece Reference ]]="", "", IF(_xlfn.XLOOKUP(OpenPendingCases[[#This Row],[Timepiece Reference ]], Table1[[Timepiece Reference ]], Table1[CRC STOCK], "Not Found")="YES", "CRC Stock", "Boutique Stock"))</f>
        <v/>
      </c>
      <c r="K111" s="137" t="str">
        <f>IF(OpenPendingCases[[#This Row],[Timepiece Reference ]]="", "", IF(_xlfn.XLOOKUP(OpenPendingCases[[#This Row],[Timepiece Reference ]], Table1[[Timepiece Reference ]], Table1[CRC STOCK], "Not Found")="YES", "CRC Stock", "Boutique Stock"))</f>
        <v/>
      </c>
      <c r="L111" s="140"/>
      <c r="M111" s="141"/>
      <c r="N111" s="137"/>
      <c r="O111" s="134"/>
      <c r="P111" s="94" t="str">
        <f>IFERROR(VLOOKUP(TRIM(O111), Collection!$B$2:$D$1001, 2, FALSE), "")</f>
        <v/>
      </c>
      <c r="Q111" s="190" t="str">
        <f>IFERROR(VLOOKUP(TRIM(O111), Collection!$B$2:$D$1001, 3, FALSE), "")</f>
        <v/>
      </c>
      <c r="R111" s="153" t="str">
        <f t="shared" si="8"/>
        <v/>
      </c>
      <c r="S111" s="151"/>
      <c r="T111" s="158"/>
      <c r="U111" s="137"/>
      <c r="V111" s="137"/>
      <c r="W111" s="156" t="str">
        <f t="shared" si="15"/>
        <v/>
      </c>
      <c r="X111" s="157"/>
      <c r="Y111" s="158"/>
      <c r="Z111" s="158"/>
      <c r="AA111" s="137" t="str">
        <f t="shared" ca="1" si="13"/>
        <v/>
      </c>
      <c r="AB111" s="137" t="str">
        <f t="shared" ca="1" si="9"/>
        <v/>
      </c>
      <c r="AC111" s="160" t="str">
        <f t="shared" ca="1" si="10"/>
        <v/>
      </c>
      <c r="AD111" s="159" t="str">
        <f t="shared" ca="1" si="11"/>
        <v/>
      </c>
      <c r="AE111" s="161"/>
      <c r="AF111" s="161"/>
      <c r="AG111" s="161"/>
      <c r="AH111" s="137"/>
      <c r="AI111" s="164" t="str">
        <f t="shared" si="14"/>
        <v/>
      </c>
      <c r="AJ111" s="164" t="str">
        <f>IF(AND(OpenPendingCases[[#This Row],[Sale Status	]]="Open Sale",OpenPendingCases[[#This Row],[Potential Same Month]]="High"),TEXT(OpenPendingCases[[#This Row],[Request Entry Date]], "[$-en-us]mmmm"),"")</f>
        <v/>
      </c>
      <c r="AK111" s="165" t="str">
        <f>IFERROR(VALUE(SUBSTITUTE(OpenPendingCases[[#This Row],[Price]]," AED","")),"")</f>
        <v/>
      </c>
      <c r="AL111" s="165" t="str">
        <f>IFERROR(VALUE(LEFT(OpenPendingCases[[#This Row],[Price]],FIND(" ",OpenPendingCases[[#This Row],[Price]])-1)),"")</f>
        <v/>
      </c>
      <c r="AM111" s="165" t="str">
        <f>IFERROR(VALUE(_xlfn.TEXTBEFORE(OpenPendingCases[[#This Row],[Price]]," AED")),"")</f>
        <v/>
      </c>
      <c r="AN111" s="165"/>
    </row>
    <row r="112" spans="3:40" ht="18" hidden="1" x14ac:dyDescent="0.35">
      <c r="C112" s="134"/>
      <c r="D112" s="137" t="str">
        <f>IF($U112="Open Sale", IF(MAX($D$4:D111)+1=0, "", MAX($D$4:D111)+1), "")</f>
        <v/>
      </c>
      <c r="E112" s="137" t="str">
        <f>IF($U112="Pending Allocation", IF(MAX($E$4:E111)+1=0, "", MAX($E$4:E111)+1), "")</f>
        <v/>
      </c>
      <c r="F112" s="137"/>
      <c r="G112" s="137"/>
      <c r="H112" s="150"/>
      <c r="I112" s="150"/>
      <c r="J112" s="68" t="str">
        <f>IF(OpenPendingCases[[#This Row],[Timepiece Reference ]]="", "", IF(_xlfn.XLOOKUP(OpenPendingCases[[#This Row],[Timepiece Reference ]], Table1[[Timepiece Reference ]], Table1[CRC STOCK], "Not Found")="YES", "CRC Stock", "Boutique Stock"))</f>
        <v/>
      </c>
      <c r="K112" s="137" t="str">
        <f>IF(OpenPendingCases[[#This Row],[Timepiece Reference ]]="", "", IF(_xlfn.XLOOKUP(OpenPendingCases[[#This Row],[Timepiece Reference ]], Table1[[Timepiece Reference ]], Table1[CRC STOCK], "Not Found")="YES", "CRC Stock", "Boutique Stock"))</f>
        <v/>
      </c>
      <c r="L112" s="140"/>
      <c r="M112" s="141"/>
      <c r="N112" s="137"/>
      <c r="O112" s="134"/>
      <c r="P112" s="94" t="str">
        <f>IFERROR(VLOOKUP(TRIM(O112), Collection!$B$2:$D$1001, 2, FALSE), "")</f>
        <v/>
      </c>
      <c r="Q112" s="190" t="str">
        <f>IFERROR(VLOOKUP(TRIM(O112), Collection!$B$2:$D$1001, 3, FALSE), "")</f>
        <v/>
      </c>
      <c r="R112" s="153" t="str">
        <f t="shared" si="8"/>
        <v/>
      </c>
      <c r="S112" s="151"/>
      <c r="T112" s="158"/>
      <c r="U112" s="137"/>
      <c r="V112" s="137"/>
      <c r="W112" s="156" t="str">
        <f t="shared" si="15"/>
        <v/>
      </c>
      <c r="X112" s="157"/>
      <c r="Y112" s="158"/>
      <c r="Z112" s="158"/>
      <c r="AA112" s="137" t="str">
        <f t="shared" ca="1" si="13"/>
        <v/>
      </c>
      <c r="AB112" s="137" t="str">
        <f t="shared" ca="1" si="9"/>
        <v/>
      </c>
      <c r="AC112" s="160" t="str">
        <f t="shared" ca="1" si="10"/>
        <v/>
      </c>
      <c r="AD112" s="159" t="str">
        <f t="shared" ca="1" si="11"/>
        <v/>
      </c>
      <c r="AE112" s="161"/>
      <c r="AF112" s="161"/>
      <c r="AG112" s="161"/>
      <c r="AH112" s="137"/>
      <c r="AI112" s="164" t="str">
        <f t="shared" si="14"/>
        <v/>
      </c>
      <c r="AJ112" s="164" t="str">
        <f>IF(AND(OpenPendingCases[[#This Row],[Sale Status	]]="Open Sale",OpenPendingCases[[#This Row],[Potential Same Month]]="High"),TEXT(OpenPendingCases[[#This Row],[Request Entry Date]], "[$-en-us]mmmm"),"")</f>
        <v/>
      </c>
      <c r="AK112" s="165" t="str">
        <f>IFERROR(VALUE(SUBSTITUTE(OpenPendingCases[[#This Row],[Price]]," AED","")),"")</f>
        <v/>
      </c>
      <c r="AL112" s="165" t="str">
        <f>IFERROR(VALUE(LEFT(OpenPendingCases[[#This Row],[Price]],FIND(" ",OpenPendingCases[[#This Row],[Price]])-1)),"")</f>
        <v/>
      </c>
      <c r="AM112" s="165" t="str">
        <f>IFERROR(VALUE(_xlfn.TEXTBEFORE(OpenPendingCases[[#This Row],[Price]]," AED")),"")</f>
        <v/>
      </c>
      <c r="AN112" s="165"/>
    </row>
    <row r="113" spans="3:40" ht="18" hidden="1" x14ac:dyDescent="0.35">
      <c r="C113" s="134"/>
      <c r="D113" s="137" t="str">
        <f>IF($U113="Open Sale", IF(MAX($D$4:D112)+1=0, "", MAX($D$4:D112)+1), "")</f>
        <v/>
      </c>
      <c r="E113" s="137" t="str">
        <f>IF($U113="Pending Allocation", IF(MAX($E$4:E112)+1=0, "", MAX($E$4:E112)+1), "")</f>
        <v/>
      </c>
      <c r="F113" s="137"/>
      <c r="G113" s="137"/>
      <c r="H113" s="150"/>
      <c r="I113" s="150"/>
      <c r="J113" s="68" t="str">
        <f>IF(OpenPendingCases[[#This Row],[Timepiece Reference ]]="", "", IF(_xlfn.XLOOKUP(OpenPendingCases[[#This Row],[Timepiece Reference ]], Table1[[Timepiece Reference ]], Table1[CRC STOCK], "Not Found")="YES", "CRC Stock", "Boutique Stock"))</f>
        <v/>
      </c>
      <c r="K113" s="137" t="str">
        <f>IF(OpenPendingCases[[#This Row],[Timepiece Reference ]]="", "", IF(_xlfn.XLOOKUP(OpenPendingCases[[#This Row],[Timepiece Reference ]], Table1[[Timepiece Reference ]], Table1[CRC STOCK], "Not Found")="YES", "CRC Stock", "Boutique Stock"))</f>
        <v/>
      </c>
      <c r="L113" s="140"/>
      <c r="M113" s="141"/>
      <c r="N113" s="137"/>
      <c r="O113" s="134"/>
      <c r="P113" s="94" t="str">
        <f>IFERROR(VLOOKUP(TRIM(O113), Collection!$B$2:$D$1001, 2, FALSE), "")</f>
        <v/>
      </c>
      <c r="Q113" s="190" t="str">
        <f>IFERROR(VLOOKUP(TRIM(O113), Collection!$B$2:$D$1001, 3, FALSE), "")</f>
        <v/>
      </c>
      <c r="R113" s="153" t="str">
        <f t="shared" si="8"/>
        <v/>
      </c>
      <c r="S113" s="151"/>
      <c r="T113" s="158"/>
      <c r="U113" s="137"/>
      <c r="V113" s="137"/>
      <c r="W113" s="156" t="str">
        <f t="shared" si="15"/>
        <v/>
      </c>
      <c r="X113" s="157"/>
      <c r="Y113" s="158"/>
      <c r="Z113" s="158"/>
      <c r="AA113" s="137" t="str">
        <f t="shared" ca="1" si="13"/>
        <v/>
      </c>
      <c r="AB113" s="137" t="str">
        <f t="shared" ca="1" si="9"/>
        <v/>
      </c>
      <c r="AC113" s="160" t="str">
        <f t="shared" ca="1" si="10"/>
        <v/>
      </c>
      <c r="AD113" s="159" t="str">
        <f t="shared" ca="1" si="11"/>
        <v/>
      </c>
      <c r="AE113" s="161"/>
      <c r="AF113" s="161"/>
      <c r="AG113" s="161"/>
      <c r="AH113" s="137"/>
      <c r="AI113" s="164" t="str">
        <f t="shared" si="14"/>
        <v/>
      </c>
      <c r="AJ113" s="164" t="str">
        <f>IF(AND(OpenPendingCases[[#This Row],[Sale Status	]]="Open Sale",OpenPendingCases[[#This Row],[Potential Same Month]]="High"),TEXT(OpenPendingCases[[#This Row],[Request Entry Date]], "[$-en-us]mmmm"),"")</f>
        <v/>
      </c>
      <c r="AK113" s="165" t="str">
        <f>IFERROR(VALUE(SUBSTITUTE(OpenPendingCases[[#This Row],[Price]]," AED","")),"")</f>
        <v/>
      </c>
      <c r="AL113" s="165" t="str">
        <f>IFERROR(VALUE(LEFT(OpenPendingCases[[#This Row],[Price]],FIND(" ",OpenPendingCases[[#This Row],[Price]])-1)),"")</f>
        <v/>
      </c>
      <c r="AM113" s="165" t="str">
        <f>IFERROR(VALUE(_xlfn.TEXTBEFORE(OpenPendingCases[[#This Row],[Price]]," AED")),"")</f>
        <v/>
      </c>
      <c r="AN113" s="165"/>
    </row>
    <row r="114" spans="3:40" ht="18" hidden="1" x14ac:dyDescent="0.35">
      <c r="C114" s="134"/>
      <c r="D114" s="137" t="str">
        <f>IF($U114="Open Sale", IF(MAX($D$4:D113)+1=0, "", MAX($D$4:D113)+1), "")</f>
        <v/>
      </c>
      <c r="E114" s="137" t="str">
        <f>IF($U114="Pending Allocation", IF(MAX($E$4:E113)+1=0, "", MAX($E$4:E113)+1), "")</f>
        <v/>
      </c>
      <c r="F114" s="137"/>
      <c r="G114" s="137"/>
      <c r="H114" s="150"/>
      <c r="I114" s="150"/>
      <c r="J114" s="68" t="str">
        <f>IF(OpenPendingCases[[#This Row],[Timepiece Reference ]]="", "", IF(_xlfn.XLOOKUP(OpenPendingCases[[#This Row],[Timepiece Reference ]], Table1[[Timepiece Reference ]], Table1[CRC STOCK], "Not Found")="YES", "CRC Stock", "Boutique Stock"))</f>
        <v/>
      </c>
      <c r="K114" s="137" t="str">
        <f>IF(OpenPendingCases[[#This Row],[Timepiece Reference ]]="", "", IF(_xlfn.XLOOKUP(OpenPendingCases[[#This Row],[Timepiece Reference ]], Table1[[Timepiece Reference ]], Table1[CRC STOCK], "Not Found")="YES", "CRC Stock", "Boutique Stock"))</f>
        <v/>
      </c>
      <c r="L114" s="140"/>
      <c r="M114" s="141"/>
      <c r="N114" s="137"/>
      <c r="O114" s="134"/>
      <c r="P114" s="94" t="str">
        <f>IFERROR(VLOOKUP(TRIM(O114), Collection!$B$2:$D$1001, 2, FALSE), "")</f>
        <v/>
      </c>
      <c r="Q114" s="190" t="str">
        <f>IFERROR(VLOOKUP(TRIM(O114), Collection!$B$2:$D$1001, 3, FALSE), "")</f>
        <v/>
      </c>
      <c r="R114" s="153" t="str">
        <f t="shared" si="8"/>
        <v/>
      </c>
      <c r="S114" s="151"/>
      <c r="T114" s="158"/>
      <c r="U114" s="137"/>
      <c r="V114" s="137"/>
      <c r="W114" s="156" t="str">
        <f t="shared" si="15"/>
        <v/>
      </c>
      <c r="X114" s="157"/>
      <c r="Y114" s="158"/>
      <c r="Z114" s="158"/>
      <c r="AA114" s="137" t="str">
        <f t="shared" ca="1" si="13"/>
        <v/>
      </c>
      <c r="AB114" s="137" t="str">
        <f t="shared" ca="1" si="9"/>
        <v/>
      </c>
      <c r="AC114" s="160" t="str">
        <f t="shared" ca="1" si="10"/>
        <v/>
      </c>
      <c r="AD114" s="159" t="str">
        <f t="shared" ca="1" si="11"/>
        <v/>
      </c>
      <c r="AE114" s="161"/>
      <c r="AF114" s="161"/>
      <c r="AG114" s="161"/>
      <c r="AH114" s="137"/>
      <c r="AI114" s="164" t="str">
        <f t="shared" si="14"/>
        <v/>
      </c>
      <c r="AJ114" s="164" t="str">
        <f>IF(AND(OpenPendingCases[[#This Row],[Sale Status	]]="Open Sale",OpenPendingCases[[#This Row],[Potential Same Month]]="High"),TEXT(OpenPendingCases[[#This Row],[Request Entry Date]], "[$-en-us]mmmm"),"")</f>
        <v/>
      </c>
      <c r="AK114" s="165" t="str">
        <f>IFERROR(VALUE(SUBSTITUTE(OpenPendingCases[[#This Row],[Price]]," AED","")),"")</f>
        <v/>
      </c>
      <c r="AL114" s="165" t="str">
        <f>IFERROR(VALUE(LEFT(OpenPendingCases[[#This Row],[Price]],FIND(" ",OpenPendingCases[[#This Row],[Price]])-1)),"")</f>
        <v/>
      </c>
      <c r="AM114" s="165" t="str">
        <f>IFERROR(VALUE(_xlfn.TEXTBEFORE(OpenPendingCases[[#This Row],[Price]]," AED")),"")</f>
        <v/>
      </c>
      <c r="AN114" s="165"/>
    </row>
    <row r="115" spans="3:40" ht="18" hidden="1" x14ac:dyDescent="0.35">
      <c r="C115" s="134"/>
      <c r="D115" s="137" t="str">
        <f>IF($U115="Open Sale", IF(MAX($D$4:D114)+1=0, "", MAX($D$4:D114)+1), "")</f>
        <v/>
      </c>
      <c r="E115" s="137" t="str">
        <f>IF($U115="Pending Allocation", IF(MAX($E$4:E114)+1=0, "", MAX($E$4:E114)+1), "")</f>
        <v/>
      </c>
      <c r="F115" s="137"/>
      <c r="G115" s="137"/>
      <c r="H115" s="150"/>
      <c r="I115" s="150"/>
      <c r="J115" s="68" t="str">
        <f>IF(OpenPendingCases[[#This Row],[Timepiece Reference ]]="", "", IF(_xlfn.XLOOKUP(OpenPendingCases[[#This Row],[Timepiece Reference ]], Table1[[Timepiece Reference ]], Table1[CRC STOCK], "Not Found")="YES", "CRC Stock", "Boutique Stock"))</f>
        <v/>
      </c>
      <c r="K115" s="137" t="str">
        <f>IF(OpenPendingCases[[#This Row],[Timepiece Reference ]]="", "", IF(_xlfn.XLOOKUP(OpenPendingCases[[#This Row],[Timepiece Reference ]], Table1[[Timepiece Reference ]], Table1[CRC STOCK], "Not Found")="YES", "CRC Stock", "Boutique Stock"))</f>
        <v/>
      </c>
      <c r="L115" s="140"/>
      <c r="M115" s="141"/>
      <c r="N115" s="137"/>
      <c r="O115" s="134"/>
      <c r="P115" s="94" t="str">
        <f>IFERROR(VLOOKUP(TRIM(O115), Collection!$B$2:$D$1001, 2, FALSE), "")</f>
        <v/>
      </c>
      <c r="Q115" s="190" t="str">
        <f>IFERROR(VLOOKUP(TRIM(O115), Collection!$B$2:$D$1001, 3, FALSE), "")</f>
        <v/>
      </c>
      <c r="R115" s="153" t="str">
        <f t="shared" si="8"/>
        <v/>
      </c>
      <c r="S115" s="151"/>
      <c r="T115" s="158"/>
      <c r="U115" s="137"/>
      <c r="V115" s="137"/>
      <c r="W115" s="156" t="str">
        <f t="shared" si="15"/>
        <v/>
      </c>
      <c r="X115" s="157"/>
      <c r="Y115" s="158"/>
      <c r="Z115" s="158"/>
      <c r="AA115" s="137" t="str">
        <f t="shared" ca="1" si="13"/>
        <v/>
      </c>
      <c r="AB115" s="137" t="str">
        <f t="shared" ca="1" si="9"/>
        <v/>
      </c>
      <c r="AC115" s="160" t="str">
        <f t="shared" ca="1" si="10"/>
        <v/>
      </c>
      <c r="AD115" s="159" t="str">
        <f t="shared" ca="1" si="11"/>
        <v/>
      </c>
      <c r="AE115" s="161"/>
      <c r="AF115" s="161"/>
      <c r="AG115" s="161"/>
      <c r="AH115" s="137"/>
      <c r="AI115" s="164" t="str">
        <f t="shared" si="14"/>
        <v/>
      </c>
      <c r="AJ115" s="164" t="str">
        <f>IF(AND(OpenPendingCases[[#This Row],[Sale Status	]]="Open Sale",OpenPendingCases[[#This Row],[Potential Same Month]]="High"),TEXT(OpenPendingCases[[#This Row],[Request Entry Date]], "[$-en-us]mmmm"),"")</f>
        <v/>
      </c>
      <c r="AK115" s="165" t="str">
        <f>IFERROR(VALUE(SUBSTITUTE(OpenPendingCases[[#This Row],[Price]]," AED","")),"")</f>
        <v/>
      </c>
      <c r="AL115" s="165" t="str">
        <f>IFERROR(VALUE(LEFT(OpenPendingCases[[#This Row],[Price]],FIND(" ",OpenPendingCases[[#This Row],[Price]])-1)),"")</f>
        <v/>
      </c>
      <c r="AM115" s="165" t="str">
        <f>IFERROR(VALUE(_xlfn.TEXTBEFORE(OpenPendingCases[[#This Row],[Price]]," AED")),"")</f>
        <v/>
      </c>
      <c r="AN115" s="165"/>
    </row>
    <row r="116" spans="3:40" ht="18" hidden="1" x14ac:dyDescent="0.35">
      <c r="C116" s="134"/>
      <c r="D116" s="137" t="str">
        <f>IF($U116="Open Sale", IF(MAX($D$4:D115)+1=0, "", MAX($D$4:D115)+1), "")</f>
        <v/>
      </c>
      <c r="E116" s="137" t="str">
        <f>IF($U116="Pending Allocation", IF(MAX($E$4:E115)+1=0, "", MAX($E$4:E115)+1), "")</f>
        <v/>
      </c>
      <c r="F116" s="137"/>
      <c r="G116" s="137"/>
      <c r="H116" s="150"/>
      <c r="I116" s="150"/>
      <c r="J116" s="68" t="str">
        <f>IF(OpenPendingCases[[#This Row],[Timepiece Reference ]]="", "", IF(_xlfn.XLOOKUP(OpenPendingCases[[#This Row],[Timepiece Reference ]], Table1[[Timepiece Reference ]], Table1[CRC STOCK], "Not Found")="YES", "CRC Stock", "Boutique Stock"))</f>
        <v/>
      </c>
      <c r="K116" s="137" t="str">
        <f>IF(OpenPendingCases[[#This Row],[Timepiece Reference ]]="", "", IF(_xlfn.XLOOKUP(OpenPendingCases[[#This Row],[Timepiece Reference ]], Table1[[Timepiece Reference ]], Table1[CRC STOCK], "Not Found")="YES", "CRC Stock", "Boutique Stock"))</f>
        <v/>
      </c>
      <c r="L116" s="140"/>
      <c r="M116" s="141"/>
      <c r="N116" s="137"/>
      <c r="O116" s="134"/>
      <c r="P116" s="94" t="str">
        <f>IFERROR(VLOOKUP(TRIM(O116), Collection!$B$2:$D$1001, 2, FALSE), "")</f>
        <v/>
      </c>
      <c r="Q116" s="190" t="str">
        <f>IFERROR(VLOOKUP(TRIM(O116), Collection!$B$2:$D$1001, 3, FALSE), "")</f>
        <v/>
      </c>
      <c r="R116" s="153" t="str">
        <f t="shared" si="8"/>
        <v/>
      </c>
      <c r="S116" s="151"/>
      <c r="T116" s="158"/>
      <c r="U116" s="137"/>
      <c r="V116" s="137"/>
      <c r="W116" s="156" t="str">
        <f t="shared" si="15"/>
        <v/>
      </c>
      <c r="X116" s="157"/>
      <c r="Y116" s="158"/>
      <c r="Z116" s="158"/>
      <c r="AA116" s="137" t="str">
        <f t="shared" ca="1" si="13"/>
        <v/>
      </c>
      <c r="AB116" s="137" t="str">
        <f t="shared" ca="1" si="9"/>
        <v/>
      </c>
      <c r="AC116" s="160" t="str">
        <f t="shared" ca="1" si="10"/>
        <v/>
      </c>
      <c r="AD116" s="159" t="str">
        <f t="shared" ca="1" si="11"/>
        <v/>
      </c>
      <c r="AE116" s="161"/>
      <c r="AF116" s="161"/>
      <c r="AG116" s="161"/>
      <c r="AH116" s="137"/>
      <c r="AI116" s="164" t="str">
        <f t="shared" si="14"/>
        <v/>
      </c>
      <c r="AJ116" s="164" t="str">
        <f>IF(AND(OpenPendingCases[[#This Row],[Sale Status	]]="Open Sale",OpenPendingCases[[#This Row],[Potential Same Month]]="High"),TEXT(OpenPendingCases[[#This Row],[Request Entry Date]], "[$-en-us]mmmm"),"")</f>
        <v/>
      </c>
      <c r="AK116" s="165" t="str">
        <f>IFERROR(VALUE(SUBSTITUTE(OpenPendingCases[[#This Row],[Price]]," AED","")),"")</f>
        <v/>
      </c>
      <c r="AL116" s="165" t="str">
        <f>IFERROR(VALUE(LEFT(OpenPendingCases[[#This Row],[Price]],FIND(" ",OpenPendingCases[[#This Row],[Price]])-1)),"")</f>
        <v/>
      </c>
      <c r="AM116" s="165" t="str">
        <f>IFERROR(VALUE(_xlfn.TEXTBEFORE(OpenPendingCases[[#This Row],[Price]]," AED")),"")</f>
        <v/>
      </c>
      <c r="AN116" s="165"/>
    </row>
    <row r="117" spans="3:40" ht="18" hidden="1" x14ac:dyDescent="0.35">
      <c r="C117" s="134"/>
      <c r="D117" s="137" t="str">
        <f>IF($U117="Open Sale", IF(MAX($D$4:D116)+1=0, "", MAX($D$4:D116)+1), "")</f>
        <v/>
      </c>
      <c r="E117" s="137" t="str">
        <f>IF($U117="Pending Allocation", IF(MAX($E$4:E116)+1=0, "", MAX($E$4:E116)+1), "")</f>
        <v/>
      </c>
      <c r="F117" s="137"/>
      <c r="G117" s="137"/>
      <c r="H117" s="150"/>
      <c r="I117" s="150"/>
      <c r="J117" s="68" t="str">
        <f>IF(OpenPendingCases[[#This Row],[Timepiece Reference ]]="", "", IF(_xlfn.XLOOKUP(OpenPendingCases[[#This Row],[Timepiece Reference ]], Table1[[Timepiece Reference ]], Table1[CRC STOCK], "Not Found")="YES", "CRC Stock", "Boutique Stock"))</f>
        <v/>
      </c>
      <c r="K117" s="137" t="str">
        <f>IF(OpenPendingCases[[#This Row],[Timepiece Reference ]]="", "", IF(_xlfn.XLOOKUP(OpenPendingCases[[#This Row],[Timepiece Reference ]], Table1[[Timepiece Reference ]], Table1[CRC STOCK], "Not Found")="YES", "CRC Stock", "Boutique Stock"))</f>
        <v/>
      </c>
      <c r="L117" s="140"/>
      <c r="M117" s="141"/>
      <c r="N117" s="137"/>
      <c r="O117" s="134"/>
      <c r="P117" s="94" t="str">
        <f>IFERROR(VLOOKUP(TRIM(O117), Collection!$B$2:$D$1001, 2, FALSE), "")</f>
        <v/>
      </c>
      <c r="Q117" s="190" t="str">
        <f>IFERROR(VLOOKUP(TRIM(O117), Collection!$B$2:$D$1001, 3, FALSE), "")</f>
        <v/>
      </c>
      <c r="R117" s="153" t="str">
        <f t="shared" si="8"/>
        <v/>
      </c>
      <c r="S117" s="151"/>
      <c r="T117" s="158"/>
      <c r="U117" s="137"/>
      <c r="V117" s="137"/>
      <c r="W117" s="156" t="str">
        <f t="shared" si="15"/>
        <v/>
      </c>
      <c r="X117" s="157"/>
      <c r="Y117" s="158"/>
      <c r="Z117" s="158"/>
      <c r="AA117" s="137" t="str">
        <f t="shared" ca="1" si="13"/>
        <v/>
      </c>
      <c r="AB117" s="137" t="str">
        <f t="shared" ca="1" si="9"/>
        <v/>
      </c>
      <c r="AC117" s="160" t="str">
        <f t="shared" ca="1" si="10"/>
        <v/>
      </c>
      <c r="AD117" s="159" t="str">
        <f t="shared" ca="1" si="11"/>
        <v/>
      </c>
      <c r="AE117" s="161"/>
      <c r="AF117" s="161"/>
      <c r="AG117" s="161"/>
      <c r="AH117" s="137"/>
      <c r="AI117" s="164" t="str">
        <f t="shared" si="14"/>
        <v/>
      </c>
      <c r="AJ117" s="164" t="str">
        <f>IF(AND(OpenPendingCases[[#This Row],[Sale Status	]]="Open Sale",OpenPendingCases[[#This Row],[Potential Same Month]]="High"),TEXT(OpenPendingCases[[#This Row],[Request Entry Date]], "[$-en-us]mmmm"),"")</f>
        <v/>
      </c>
      <c r="AK117" s="165" t="str">
        <f>IFERROR(VALUE(SUBSTITUTE(OpenPendingCases[[#This Row],[Price]]," AED","")),"")</f>
        <v/>
      </c>
      <c r="AL117" s="165" t="str">
        <f>IFERROR(VALUE(LEFT(OpenPendingCases[[#This Row],[Price]],FIND(" ",OpenPendingCases[[#This Row],[Price]])-1)),"")</f>
        <v/>
      </c>
      <c r="AM117" s="165" t="str">
        <f>IFERROR(VALUE(_xlfn.TEXTBEFORE(OpenPendingCases[[#This Row],[Price]]," AED")),"")</f>
        <v/>
      </c>
      <c r="AN117" s="165"/>
    </row>
    <row r="118" spans="3:40" ht="18" hidden="1" x14ac:dyDescent="0.35">
      <c r="C118" s="134"/>
      <c r="D118" s="137" t="str">
        <f>IF($U118="Open Sale", IF(MAX($D$4:D117)+1=0, "", MAX($D$4:D117)+1), "")</f>
        <v/>
      </c>
      <c r="E118" s="137" t="str">
        <f>IF($U118="Pending Allocation", IF(MAX($E$4:E117)+1=0, "", MAX($E$4:E117)+1), "")</f>
        <v/>
      </c>
      <c r="F118" s="137"/>
      <c r="G118" s="137"/>
      <c r="H118" s="150"/>
      <c r="I118" s="150"/>
      <c r="J118" s="68" t="str">
        <f>IF(OpenPendingCases[[#This Row],[Timepiece Reference ]]="", "", IF(_xlfn.XLOOKUP(OpenPendingCases[[#This Row],[Timepiece Reference ]], Table1[[Timepiece Reference ]], Table1[CRC STOCK], "Not Found")="YES", "CRC Stock", "Boutique Stock"))</f>
        <v/>
      </c>
      <c r="K118" s="137" t="str">
        <f>IF(OpenPendingCases[[#This Row],[Timepiece Reference ]]="", "", IF(_xlfn.XLOOKUP(OpenPendingCases[[#This Row],[Timepiece Reference ]], Table1[[Timepiece Reference ]], Table1[CRC STOCK], "Not Found")="YES", "CRC Stock", "Boutique Stock"))</f>
        <v/>
      </c>
      <c r="L118" s="140"/>
      <c r="M118" s="141"/>
      <c r="N118" s="137"/>
      <c r="O118" s="134"/>
      <c r="P118" s="94" t="str">
        <f>IFERROR(VLOOKUP(TRIM(O118), Collection!$B$2:$D$1001, 2, FALSE), "")</f>
        <v/>
      </c>
      <c r="Q118" s="190" t="str">
        <f>IFERROR(VLOOKUP(TRIM(O118), Collection!$B$2:$D$1001, 3, FALSE), "")</f>
        <v/>
      </c>
      <c r="R118" s="153" t="str">
        <f t="shared" si="8"/>
        <v/>
      </c>
      <c r="S118" s="151"/>
      <c r="T118" s="158"/>
      <c r="U118" s="137"/>
      <c r="V118" s="137"/>
      <c r="W118" s="156" t="str">
        <f t="shared" si="15"/>
        <v/>
      </c>
      <c r="X118" s="157"/>
      <c r="Y118" s="158"/>
      <c r="Z118" s="158"/>
      <c r="AA118" s="137" t="str">
        <f t="shared" ca="1" si="13"/>
        <v/>
      </c>
      <c r="AB118" s="137" t="str">
        <f t="shared" ca="1" si="9"/>
        <v/>
      </c>
      <c r="AC118" s="160" t="str">
        <f t="shared" ca="1" si="10"/>
        <v/>
      </c>
      <c r="AD118" s="159" t="str">
        <f t="shared" ca="1" si="11"/>
        <v/>
      </c>
      <c r="AE118" s="161"/>
      <c r="AF118" s="161"/>
      <c r="AG118" s="161"/>
      <c r="AH118" s="137"/>
      <c r="AI118" s="164" t="str">
        <f t="shared" si="14"/>
        <v/>
      </c>
      <c r="AJ118" s="164" t="str">
        <f>IF(AND(OpenPendingCases[[#This Row],[Sale Status	]]="Open Sale",OpenPendingCases[[#This Row],[Potential Same Month]]="High"),TEXT(OpenPendingCases[[#This Row],[Request Entry Date]], "[$-en-us]mmmm"),"")</f>
        <v/>
      </c>
      <c r="AK118" s="165" t="str">
        <f>IFERROR(VALUE(SUBSTITUTE(OpenPendingCases[[#This Row],[Price]]," AED","")),"")</f>
        <v/>
      </c>
      <c r="AL118" s="165" t="str">
        <f>IFERROR(VALUE(LEFT(OpenPendingCases[[#This Row],[Price]],FIND(" ",OpenPendingCases[[#This Row],[Price]])-1)),"")</f>
        <v/>
      </c>
      <c r="AM118" s="165" t="str">
        <f>IFERROR(VALUE(_xlfn.TEXTBEFORE(OpenPendingCases[[#This Row],[Price]]," AED")),"")</f>
        <v/>
      </c>
      <c r="AN118" s="165"/>
    </row>
    <row r="119" spans="3:40" ht="18" hidden="1" x14ac:dyDescent="0.35">
      <c r="C119" s="134"/>
      <c r="D119" s="137" t="str">
        <f>IF($U119="Open Sale", IF(MAX($D$4:D118)+1=0, "", MAX($D$4:D118)+1), "")</f>
        <v/>
      </c>
      <c r="E119" s="137" t="str">
        <f>IF($U119="Pending Allocation", IF(MAX($E$4:E118)+1=0, "", MAX($E$4:E118)+1), "")</f>
        <v/>
      </c>
      <c r="F119" s="137"/>
      <c r="G119" s="137"/>
      <c r="H119" s="150"/>
      <c r="I119" s="150"/>
      <c r="J119" s="68" t="str">
        <f>IF(OpenPendingCases[[#This Row],[Timepiece Reference ]]="", "", IF(_xlfn.XLOOKUP(OpenPendingCases[[#This Row],[Timepiece Reference ]], Table1[[Timepiece Reference ]], Table1[CRC STOCK], "Not Found")="YES", "CRC Stock", "Boutique Stock"))</f>
        <v/>
      </c>
      <c r="K119" s="137" t="str">
        <f>IF(OpenPendingCases[[#This Row],[Timepiece Reference ]]="", "", IF(_xlfn.XLOOKUP(OpenPendingCases[[#This Row],[Timepiece Reference ]], Table1[[Timepiece Reference ]], Table1[CRC STOCK], "Not Found")="YES", "CRC Stock", "Boutique Stock"))</f>
        <v/>
      </c>
      <c r="L119" s="140"/>
      <c r="M119" s="141"/>
      <c r="N119" s="137"/>
      <c r="O119" s="134"/>
      <c r="P119" s="94" t="str">
        <f>IFERROR(VLOOKUP(TRIM(O119), Collection!$B$2:$D$1001, 2, FALSE), "")</f>
        <v/>
      </c>
      <c r="Q119" s="190" t="str">
        <f>IFERROR(VLOOKUP(TRIM(O119), Collection!$B$2:$D$1001, 3, FALSE), "")</f>
        <v/>
      </c>
      <c r="R119" s="153" t="str">
        <f t="shared" si="8"/>
        <v/>
      </c>
      <c r="S119" s="151"/>
      <c r="T119" s="158"/>
      <c r="U119" s="137"/>
      <c r="V119" s="137"/>
      <c r="W119" s="156" t="str">
        <f t="shared" si="15"/>
        <v/>
      </c>
      <c r="X119" s="157"/>
      <c r="Y119" s="158"/>
      <c r="Z119" s="158"/>
      <c r="AA119" s="137" t="str">
        <f t="shared" ca="1" si="13"/>
        <v/>
      </c>
      <c r="AB119" s="137" t="str">
        <f t="shared" ca="1" si="9"/>
        <v/>
      </c>
      <c r="AC119" s="160" t="str">
        <f t="shared" ca="1" si="10"/>
        <v/>
      </c>
      <c r="AD119" s="159" t="str">
        <f t="shared" ca="1" si="11"/>
        <v/>
      </c>
      <c r="AE119" s="161"/>
      <c r="AF119" s="161"/>
      <c r="AG119" s="161"/>
      <c r="AH119" s="137"/>
      <c r="AI119" s="164" t="str">
        <f t="shared" si="14"/>
        <v/>
      </c>
      <c r="AJ119" s="164" t="str">
        <f>IF(AND(OpenPendingCases[[#This Row],[Sale Status	]]="Open Sale",OpenPendingCases[[#This Row],[Potential Same Month]]="High"),TEXT(OpenPendingCases[[#This Row],[Request Entry Date]], "[$-en-us]mmmm"),"")</f>
        <v/>
      </c>
      <c r="AK119" s="165" t="str">
        <f>IFERROR(VALUE(SUBSTITUTE(OpenPendingCases[[#This Row],[Price]]," AED","")),"")</f>
        <v/>
      </c>
      <c r="AL119" s="165" t="str">
        <f>IFERROR(VALUE(LEFT(OpenPendingCases[[#This Row],[Price]],FIND(" ",OpenPendingCases[[#This Row],[Price]])-1)),"")</f>
        <v/>
      </c>
      <c r="AM119" s="165" t="str">
        <f>IFERROR(VALUE(_xlfn.TEXTBEFORE(OpenPendingCases[[#This Row],[Price]]," AED")),"")</f>
        <v/>
      </c>
      <c r="AN119" s="165"/>
    </row>
    <row r="120" spans="3:40" ht="18" hidden="1" x14ac:dyDescent="0.35">
      <c r="C120" s="134"/>
      <c r="D120" s="137" t="str">
        <f>IF($U120="Open Sale", IF(MAX($D$4:D119)+1=0, "", MAX($D$4:D119)+1), "")</f>
        <v/>
      </c>
      <c r="E120" s="137" t="str">
        <f>IF($U120="Pending Allocation", IF(MAX($E$4:E119)+1=0, "", MAX($E$4:E119)+1), "")</f>
        <v/>
      </c>
      <c r="F120" s="137"/>
      <c r="G120" s="137"/>
      <c r="H120" s="150"/>
      <c r="I120" s="150"/>
      <c r="J120" s="68" t="str">
        <f>IF(OpenPendingCases[[#This Row],[Timepiece Reference ]]="", "", IF(_xlfn.XLOOKUP(OpenPendingCases[[#This Row],[Timepiece Reference ]], Table1[[Timepiece Reference ]], Table1[CRC STOCK], "Not Found")="YES", "CRC Stock", "Boutique Stock"))</f>
        <v/>
      </c>
      <c r="K120" s="137" t="str">
        <f>IF(OpenPendingCases[[#This Row],[Timepiece Reference ]]="", "", IF(_xlfn.XLOOKUP(OpenPendingCases[[#This Row],[Timepiece Reference ]], Table1[[Timepiece Reference ]], Table1[CRC STOCK], "Not Found")="YES", "CRC Stock", "Boutique Stock"))</f>
        <v/>
      </c>
      <c r="L120" s="140"/>
      <c r="M120" s="141"/>
      <c r="N120" s="137"/>
      <c r="O120" s="134"/>
      <c r="P120" s="94" t="str">
        <f>IFERROR(VLOOKUP(TRIM(O120), Collection!$B$2:$D$1001, 2, FALSE), "")</f>
        <v/>
      </c>
      <c r="Q120" s="190" t="str">
        <f>IFERROR(VLOOKUP(TRIM(O120), Collection!$B$2:$D$1001, 3, FALSE), "")</f>
        <v/>
      </c>
      <c r="R120" s="153" t="str">
        <f t="shared" si="8"/>
        <v/>
      </c>
      <c r="S120" s="151"/>
      <c r="T120" s="158"/>
      <c r="U120" s="137"/>
      <c r="V120" s="137"/>
      <c r="W120" s="156" t="str">
        <f t="shared" si="15"/>
        <v/>
      </c>
      <c r="X120" s="157"/>
      <c r="Y120" s="158"/>
      <c r="Z120" s="158"/>
      <c r="AA120" s="137" t="str">
        <f t="shared" ca="1" si="13"/>
        <v/>
      </c>
      <c r="AB120" s="137" t="str">
        <f t="shared" ca="1" si="9"/>
        <v/>
      </c>
      <c r="AC120" s="160" t="str">
        <f t="shared" ca="1" si="10"/>
        <v/>
      </c>
      <c r="AD120" s="159" t="str">
        <f t="shared" ca="1" si="11"/>
        <v/>
      </c>
      <c r="AE120" s="161"/>
      <c r="AF120" s="161"/>
      <c r="AG120" s="161"/>
      <c r="AH120" s="137"/>
      <c r="AI120" s="164" t="str">
        <f t="shared" si="14"/>
        <v/>
      </c>
      <c r="AJ120" s="164" t="str">
        <f>IF(AND(OpenPendingCases[[#This Row],[Sale Status	]]="Open Sale",OpenPendingCases[[#This Row],[Potential Same Month]]="High"),TEXT(OpenPendingCases[[#This Row],[Request Entry Date]], "[$-en-us]mmmm"),"")</f>
        <v/>
      </c>
      <c r="AK120" s="165" t="str">
        <f>IFERROR(VALUE(SUBSTITUTE(OpenPendingCases[[#This Row],[Price]]," AED","")),"")</f>
        <v/>
      </c>
      <c r="AL120" s="165" t="str">
        <f>IFERROR(VALUE(LEFT(OpenPendingCases[[#This Row],[Price]],FIND(" ",OpenPendingCases[[#This Row],[Price]])-1)),"")</f>
        <v/>
      </c>
      <c r="AM120" s="165" t="str">
        <f>IFERROR(VALUE(_xlfn.TEXTBEFORE(OpenPendingCases[[#This Row],[Price]]," AED")),"")</f>
        <v/>
      </c>
      <c r="AN120" s="165"/>
    </row>
    <row r="121" spans="3:40" ht="18" hidden="1" x14ac:dyDescent="0.35">
      <c r="C121" s="134"/>
      <c r="D121" s="137" t="str">
        <f>IF($U121="Open Sale", IF(MAX($D$4:D120)+1=0, "", MAX($D$4:D120)+1), "")</f>
        <v/>
      </c>
      <c r="E121" s="137" t="str">
        <f>IF($U121="Pending Allocation", IF(MAX($E$4:E120)+1=0, "", MAX($E$4:E120)+1), "")</f>
        <v/>
      </c>
      <c r="F121" s="137"/>
      <c r="G121" s="137"/>
      <c r="H121" s="150"/>
      <c r="I121" s="150"/>
      <c r="J121" s="68" t="str">
        <f>IF(OpenPendingCases[[#This Row],[Timepiece Reference ]]="", "", IF(_xlfn.XLOOKUP(OpenPendingCases[[#This Row],[Timepiece Reference ]], Table1[[Timepiece Reference ]], Table1[CRC STOCK], "Not Found")="YES", "CRC Stock", "Boutique Stock"))</f>
        <v/>
      </c>
      <c r="K121" s="137" t="str">
        <f>IF(OpenPendingCases[[#This Row],[Timepiece Reference ]]="", "", IF(_xlfn.XLOOKUP(OpenPendingCases[[#This Row],[Timepiece Reference ]], Table1[[Timepiece Reference ]], Table1[CRC STOCK], "Not Found")="YES", "CRC Stock", "Boutique Stock"))</f>
        <v/>
      </c>
      <c r="L121" s="140"/>
      <c r="M121" s="141"/>
      <c r="N121" s="137"/>
      <c r="O121" s="134"/>
      <c r="P121" s="94" t="str">
        <f>IFERROR(VLOOKUP(TRIM(O121), Collection!$B$2:$D$1001, 2, FALSE), "")</f>
        <v/>
      </c>
      <c r="Q121" s="190" t="str">
        <f>IFERROR(VLOOKUP(TRIM(O121), Collection!$B$2:$D$1001, 3, FALSE), "")</f>
        <v/>
      </c>
      <c r="R121" s="153" t="str">
        <f t="shared" si="8"/>
        <v/>
      </c>
      <c r="S121" s="151"/>
      <c r="T121" s="158"/>
      <c r="U121" s="137"/>
      <c r="V121" s="137"/>
      <c r="W121" s="156" t="str">
        <f t="shared" si="15"/>
        <v/>
      </c>
      <c r="X121" s="157"/>
      <c r="Y121" s="158"/>
      <c r="Z121" s="158"/>
      <c r="AA121" s="137" t="str">
        <f t="shared" ca="1" si="13"/>
        <v/>
      </c>
      <c r="AB121" s="137" t="str">
        <f t="shared" ca="1" si="9"/>
        <v/>
      </c>
      <c r="AC121" s="160" t="str">
        <f t="shared" ca="1" si="10"/>
        <v/>
      </c>
      <c r="AD121" s="159" t="str">
        <f t="shared" ca="1" si="11"/>
        <v/>
      </c>
      <c r="AE121" s="161"/>
      <c r="AF121" s="161"/>
      <c r="AG121" s="161"/>
      <c r="AH121" s="137"/>
      <c r="AI121" s="164" t="str">
        <f t="shared" si="14"/>
        <v/>
      </c>
      <c r="AJ121" s="164" t="str">
        <f>IF(AND(OpenPendingCases[[#This Row],[Sale Status	]]="Open Sale",OpenPendingCases[[#This Row],[Potential Same Month]]="High"),TEXT(OpenPendingCases[[#This Row],[Request Entry Date]], "[$-en-us]mmmm"),"")</f>
        <v/>
      </c>
      <c r="AK121" s="165" t="str">
        <f>IFERROR(VALUE(SUBSTITUTE(OpenPendingCases[[#This Row],[Price]]," AED","")),"")</f>
        <v/>
      </c>
      <c r="AL121" s="165" t="str">
        <f>IFERROR(VALUE(LEFT(OpenPendingCases[[#This Row],[Price]],FIND(" ",OpenPendingCases[[#This Row],[Price]])-1)),"")</f>
        <v/>
      </c>
      <c r="AM121" s="165" t="str">
        <f>IFERROR(VALUE(_xlfn.TEXTBEFORE(OpenPendingCases[[#This Row],[Price]]," AED")),"")</f>
        <v/>
      </c>
      <c r="AN121" s="165"/>
    </row>
    <row r="122" spans="3:40" ht="18" hidden="1" x14ac:dyDescent="0.35">
      <c r="C122" s="134"/>
      <c r="D122" s="137" t="str">
        <f>IF($U122="Open Sale", IF(MAX($D$4:D121)+1=0, "", MAX($D$4:D121)+1), "")</f>
        <v/>
      </c>
      <c r="E122" s="137" t="str">
        <f>IF($U122="Pending Allocation", IF(MAX($E$4:E121)+1=0, "", MAX($E$4:E121)+1), "")</f>
        <v/>
      </c>
      <c r="F122" s="137"/>
      <c r="G122" s="137"/>
      <c r="H122" s="150"/>
      <c r="I122" s="150"/>
      <c r="J122" s="68" t="str">
        <f>IF(OpenPendingCases[[#This Row],[Timepiece Reference ]]="", "", IF(_xlfn.XLOOKUP(OpenPendingCases[[#This Row],[Timepiece Reference ]], Table1[[Timepiece Reference ]], Table1[CRC STOCK], "Not Found")="YES", "CRC Stock", "Boutique Stock"))</f>
        <v/>
      </c>
      <c r="K122" s="137" t="str">
        <f>IF(OpenPendingCases[[#This Row],[Timepiece Reference ]]="", "", IF(_xlfn.XLOOKUP(OpenPendingCases[[#This Row],[Timepiece Reference ]], Table1[[Timepiece Reference ]], Table1[CRC STOCK], "Not Found")="YES", "CRC Stock", "Boutique Stock"))</f>
        <v/>
      </c>
      <c r="L122" s="140"/>
      <c r="M122" s="141"/>
      <c r="N122" s="137"/>
      <c r="O122" s="134"/>
      <c r="P122" s="94" t="str">
        <f>IFERROR(VLOOKUP(TRIM(O122), Collection!$B$2:$D$1001, 2, FALSE), "")</f>
        <v/>
      </c>
      <c r="Q122" s="190" t="str">
        <f>IFERROR(VLOOKUP(TRIM(O122), Collection!$B$2:$D$1001, 3, FALSE), "")</f>
        <v/>
      </c>
      <c r="R122" s="153" t="str">
        <f t="shared" si="8"/>
        <v/>
      </c>
      <c r="S122" s="151"/>
      <c r="T122" s="158"/>
      <c r="U122" s="137"/>
      <c r="V122" s="137"/>
      <c r="W122" s="156" t="str">
        <f t="shared" si="15"/>
        <v/>
      </c>
      <c r="X122" s="157"/>
      <c r="Y122" s="158"/>
      <c r="Z122" s="158"/>
      <c r="AA122" s="137" t="str">
        <f t="shared" ca="1" si="13"/>
        <v/>
      </c>
      <c r="AB122" s="137" t="str">
        <f t="shared" ca="1" si="9"/>
        <v/>
      </c>
      <c r="AC122" s="160" t="str">
        <f t="shared" ca="1" si="10"/>
        <v/>
      </c>
      <c r="AD122" s="159" t="str">
        <f t="shared" ca="1" si="11"/>
        <v/>
      </c>
      <c r="AE122" s="161"/>
      <c r="AF122" s="161"/>
      <c r="AG122" s="161"/>
      <c r="AH122" s="137"/>
      <c r="AI122" s="164" t="str">
        <f t="shared" si="14"/>
        <v/>
      </c>
      <c r="AJ122" s="164" t="str">
        <f>IF(AND(OpenPendingCases[[#This Row],[Sale Status	]]="Open Sale",OpenPendingCases[[#This Row],[Potential Same Month]]="High"),TEXT(OpenPendingCases[[#This Row],[Request Entry Date]], "[$-en-us]mmmm"),"")</f>
        <v/>
      </c>
      <c r="AK122" s="165" t="str">
        <f>IFERROR(VALUE(SUBSTITUTE(OpenPendingCases[[#This Row],[Price]]," AED","")),"")</f>
        <v/>
      </c>
      <c r="AL122" s="165" t="str">
        <f>IFERROR(VALUE(LEFT(OpenPendingCases[[#This Row],[Price]],FIND(" ",OpenPendingCases[[#This Row],[Price]])-1)),"")</f>
        <v/>
      </c>
      <c r="AM122" s="165" t="str">
        <f>IFERROR(VALUE(_xlfn.TEXTBEFORE(OpenPendingCases[[#This Row],[Price]]," AED")),"")</f>
        <v/>
      </c>
      <c r="AN122" s="165"/>
    </row>
    <row r="123" spans="3:40" ht="18" hidden="1" x14ac:dyDescent="0.35">
      <c r="C123" s="134"/>
      <c r="D123" s="137" t="str">
        <f>IF($U123="Open Sale", IF(MAX($D$4:D122)+1=0, "", MAX($D$4:D122)+1), "")</f>
        <v/>
      </c>
      <c r="E123" s="137" t="str">
        <f>IF($U123="Pending Allocation", IF(MAX($E$4:E122)+1=0, "", MAX($E$4:E122)+1), "")</f>
        <v/>
      </c>
      <c r="F123" s="137"/>
      <c r="G123" s="137"/>
      <c r="H123" s="150"/>
      <c r="I123" s="150"/>
      <c r="J123" s="68" t="str">
        <f>IF(OpenPendingCases[[#This Row],[Timepiece Reference ]]="", "", IF(_xlfn.XLOOKUP(OpenPendingCases[[#This Row],[Timepiece Reference ]], Table1[[Timepiece Reference ]], Table1[CRC STOCK], "Not Found")="YES", "CRC Stock", "Boutique Stock"))</f>
        <v/>
      </c>
      <c r="K123" s="137" t="str">
        <f>IF(OpenPendingCases[[#This Row],[Timepiece Reference ]]="", "", IF(_xlfn.XLOOKUP(OpenPendingCases[[#This Row],[Timepiece Reference ]], Table1[[Timepiece Reference ]], Table1[CRC STOCK], "Not Found")="YES", "CRC Stock", "Boutique Stock"))</f>
        <v/>
      </c>
      <c r="L123" s="140"/>
      <c r="M123" s="141"/>
      <c r="N123" s="137"/>
      <c r="O123" s="134"/>
      <c r="P123" s="94" t="str">
        <f>IFERROR(VLOOKUP(TRIM(O123), Collection!$B$2:$D$1001, 2, FALSE), "")</f>
        <v/>
      </c>
      <c r="Q123" s="190" t="str">
        <f>IFERROR(VLOOKUP(TRIM(O123), Collection!$B$2:$D$1001, 3, FALSE), "")</f>
        <v/>
      </c>
      <c r="R123" s="153" t="str">
        <f t="shared" si="8"/>
        <v/>
      </c>
      <c r="S123" s="151"/>
      <c r="T123" s="158"/>
      <c r="U123" s="137"/>
      <c r="V123" s="137"/>
      <c r="W123" s="156" t="str">
        <f t="shared" si="15"/>
        <v/>
      </c>
      <c r="X123" s="157"/>
      <c r="Y123" s="158"/>
      <c r="Z123" s="158"/>
      <c r="AA123" s="137" t="str">
        <f t="shared" ca="1" si="13"/>
        <v/>
      </c>
      <c r="AB123" s="137" t="str">
        <f t="shared" ca="1" si="9"/>
        <v/>
      </c>
      <c r="AC123" s="160" t="str">
        <f t="shared" ca="1" si="10"/>
        <v/>
      </c>
      <c r="AD123" s="159" t="str">
        <f t="shared" ca="1" si="11"/>
        <v/>
      </c>
      <c r="AE123" s="161"/>
      <c r="AF123" s="161"/>
      <c r="AG123" s="161"/>
      <c r="AH123" s="137"/>
      <c r="AI123" s="164" t="str">
        <f t="shared" si="14"/>
        <v/>
      </c>
      <c r="AJ123" s="164" t="str">
        <f>IF(AND(OpenPendingCases[[#This Row],[Sale Status	]]="Open Sale",OpenPendingCases[[#This Row],[Potential Same Month]]="High"),TEXT(OpenPendingCases[[#This Row],[Request Entry Date]], "[$-en-us]mmmm"),"")</f>
        <v/>
      </c>
      <c r="AK123" s="165" t="str">
        <f>IFERROR(VALUE(SUBSTITUTE(OpenPendingCases[[#This Row],[Price]]," AED","")),"")</f>
        <v/>
      </c>
      <c r="AL123" s="165" t="str">
        <f>IFERROR(VALUE(LEFT(OpenPendingCases[[#This Row],[Price]],FIND(" ",OpenPendingCases[[#This Row],[Price]])-1)),"")</f>
        <v/>
      </c>
      <c r="AM123" s="165" t="str">
        <f>IFERROR(VALUE(_xlfn.TEXTBEFORE(OpenPendingCases[[#This Row],[Price]]," AED")),"")</f>
        <v/>
      </c>
      <c r="AN123" s="165"/>
    </row>
    <row r="124" spans="3:40" ht="18" hidden="1" x14ac:dyDescent="0.35">
      <c r="C124" s="134"/>
      <c r="D124" s="137" t="str">
        <f>IF($U124="Open Sale", IF(MAX($D$4:D123)+1=0, "", MAX($D$4:D123)+1), "")</f>
        <v/>
      </c>
      <c r="E124" s="137" t="str">
        <f>IF($U124="Pending Allocation", IF(MAX($E$4:E123)+1=0, "", MAX($E$4:E123)+1), "")</f>
        <v/>
      </c>
      <c r="F124" s="137"/>
      <c r="G124" s="137"/>
      <c r="H124" s="150"/>
      <c r="I124" s="150"/>
      <c r="J124" s="68" t="str">
        <f>IF(OpenPendingCases[[#This Row],[Timepiece Reference ]]="", "", IF(_xlfn.XLOOKUP(OpenPendingCases[[#This Row],[Timepiece Reference ]], Table1[[Timepiece Reference ]], Table1[CRC STOCK], "Not Found")="YES", "CRC Stock", "Boutique Stock"))</f>
        <v/>
      </c>
      <c r="K124" s="137" t="str">
        <f>IF(OpenPendingCases[[#This Row],[Timepiece Reference ]]="", "", IF(_xlfn.XLOOKUP(OpenPendingCases[[#This Row],[Timepiece Reference ]], Table1[[Timepiece Reference ]], Table1[CRC STOCK], "Not Found")="YES", "CRC Stock", "Boutique Stock"))</f>
        <v/>
      </c>
      <c r="L124" s="140"/>
      <c r="M124" s="141"/>
      <c r="N124" s="137"/>
      <c r="O124" s="134"/>
      <c r="P124" s="94" t="str">
        <f>IFERROR(VLOOKUP(TRIM(O124), Collection!$B$2:$D$1001, 2, FALSE), "")</f>
        <v/>
      </c>
      <c r="Q124" s="190" t="str">
        <f>IFERROR(VLOOKUP(TRIM(O124), Collection!$B$2:$D$1001, 3, FALSE), "")</f>
        <v/>
      </c>
      <c r="R124" s="153" t="str">
        <f t="shared" si="8"/>
        <v/>
      </c>
      <c r="S124" s="151"/>
      <c r="T124" s="158"/>
      <c r="U124" s="137"/>
      <c r="V124" s="137"/>
      <c r="W124" s="156" t="str">
        <f t="shared" si="15"/>
        <v/>
      </c>
      <c r="X124" s="157"/>
      <c r="Y124" s="158"/>
      <c r="Z124" s="158"/>
      <c r="AA124" s="137" t="str">
        <f t="shared" ca="1" si="13"/>
        <v/>
      </c>
      <c r="AB124" s="137" t="str">
        <f t="shared" ca="1" si="9"/>
        <v/>
      </c>
      <c r="AC124" s="160" t="str">
        <f t="shared" ca="1" si="10"/>
        <v/>
      </c>
      <c r="AD124" s="159" t="str">
        <f t="shared" ca="1" si="11"/>
        <v/>
      </c>
      <c r="AE124" s="161"/>
      <c r="AF124" s="161"/>
      <c r="AG124" s="161"/>
      <c r="AH124" s="137"/>
      <c r="AI124" s="164" t="str">
        <f t="shared" si="14"/>
        <v/>
      </c>
      <c r="AJ124" s="164" t="str">
        <f>IF(AND(OpenPendingCases[[#This Row],[Sale Status	]]="Open Sale",OpenPendingCases[[#This Row],[Potential Same Month]]="High"),TEXT(OpenPendingCases[[#This Row],[Request Entry Date]], "[$-en-us]mmmm"),"")</f>
        <v/>
      </c>
      <c r="AK124" s="165" t="str">
        <f>IFERROR(VALUE(SUBSTITUTE(OpenPendingCases[[#This Row],[Price]]," AED","")),"")</f>
        <v/>
      </c>
      <c r="AL124" s="165" t="str">
        <f>IFERROR(VALUE(LEFT(OpenPendingCases[[#This Row],[Price]],FIND(" ",OpenPendingCases[[#This Row],[Price]])-1)),"")</f>
        <v/>
      </c>
      <c r="AM124" s="165" t="str">
        <f>IFERROR(VALUE(_xlfn.TEXTBEFORE(OpenPendingCases[[#This Row],[Price]]," AED")),"")</f>
        <v/>
      </c>
      <c r="AN124" s="165"/>
    </row>
    <row r="125" spans="3:40" ht="18" hidden="1" x14ac:dyDescent="0.35">
      <c r="C125" s="134"/>
      <c r="D125" s="137" t="str">
        <f>IF($U125="Open Sale", IF(MAX($D$4:D124)+1=0, "", MAX($D$4:D124)+1), "")</f>
        <v/>
      </c>
      <c r="E125" s="137" t="str">
        <f>IF($U125="Pending Allocation", IF(MAX($E$4:E124)+1=0, "", MAX($E$4:E124)+1), "")</f>
        <v/>
      </c>
      <c r="F125" s="137"/>
      <c r="G125" s="137"/>
      <c r="H125" s="150"/>
      <c r="I125" s="150"/>
      <c r="J125" s="68" t="str">
        <f>IF(OpenPendingCases[[#This Row],[Timepiece Reference ]]="", "", IF(_xlfn.XLOOKUP(OpenPendingCases[[#This Row],[Timepiece Reference ]], Table1[[Timepiece Reference ]], Table1[CRC STOCK], "Not Found")="YES", "CRC Stock", "Boutique Stock"))</f>
        <v/>
      </c>
      <c r="K125" s="137" t="str">
        <f>IF(OpenPendingCases[[#This Row],[Timepiece Reference ]]="", "", IF(_xlfn.XLOOKUP(OpenPendingCases[[#This Row],[Timepiece Reference ]], Table1[[Timepiece Reference ]], Table1[CRC STOCK], "Not Found")="YES", "CRC Stock", "Boutique Stock"))</f>
        <v/>
      </c>
      <c r="L125" s="140"/>
      <c r="M125" s="141"/>
      <c r="N125" s="137"/>
      <c r="O125" s="134"/>
      <c r="P125" s="94" t="str">
        <f>IFERROR(VLOOKUP(TRIM(O125), Collection!$B$2:$D$1001, 2, FALSE), "")</f>
        <v/>
      </c>
      <c r="Q125" s="190" t="str">
        <f>IFERROR(VLOOKUP(TRIM(O125), Collection!$B$2:$D$1001, 3, FALSE), "")</f>
        <v/>
      </c>
      <c r="R125" s="153" t="str">
        <f t="shared" si="8"/>
        <v/>
      </c>
      <c r="S125" s="151"/>
      <c r="T125" s="158"/>
      <c r="U125" s="137"/>
      <c r="V125" s="137"/>
      <c r="W125" s="156" t="str">
        <f t="shared" si="15"/>
        <v/>
      </c>
      <c r="X125" s="157"/>
      <c r="Y125" s="158"/>
      <c r="Z125" s="158"/>
      <c r="AA125" s="137" t="str">
        <f t="shared" ca="1" si="13"/>
        <v/>
      </c>
      <c r="AB125" s="137" t="str">
        <f t="shared" ca="1" si="9"/>
        <v/>
      </c>
      <c r="AC125" s="160" t="str">
        <f t="shared" ca="1" si="10"/>
        <v/>
      </c>
      <c r="AD125" s="159" t="str">
        <f t="shared" ca="1" si="11"/>
        <v/>
      </c>
      <c r="AE125" s="161"/>
      <c r="AF125" s="161"/>
      <c r="AG125" s="161"/>
      <c r="AH125" s="137"/>
      <c r="AI125" s="164" t="str">
        <f t="shared" si="14"/>
        <v/>
      </c>
      <c r="AJ125" s="164" t="str">
        <f>IF(AND(OpenPendingCases[[#This Row],[Sale Status	]]="Open Sale",OpenPendingCases[[#This Row],[Potential Same Month]]="High"),TEXT(OpenPendingCases[[#This Row],[Request Entry Date]], "[$-en-us]mmmm"),"")</f>
        <v/>
      </c>
      <c r="AK125" s="165" t="str">
        <f>IFERROR(VALUE(SUBSTITUTE(OpenPendingCases[[#This Row],[Price]]," AED","")),"")</f>
        <v/>
      </c>
      <c r="AL125" s="165" t="str">
        <f>IFERROR(VALUE(LEFT(OpenPendingCases[[#This Row],[Price]],FIND(" ",OpenPendingCases[[#This Row],[Price]])-1)),"")</f>
        <v/>
      </c>
      <c r="AM125" s="165" t="str">
        <f>IFERROR(VALUE(_xlfn.TEXTBEFORE(OpenPendingCases[[#This Row],[Price]]," AED")),"")</f>
        <v/>
      </c>
      <c r="AN125" s="165"/>
    </row>
    <row r="126" spans="3:40" ht="18" hidden="1" x14ac:dyDescent="0.35">
      <c r="C126" s="134"/>
      <c r="D126" s="137" t="str">
        <f>IF($U126="Open Sale", IF(MAX($D$4:D125)+1=0, "", MAX($D$4:D125)+1), "")</f>
        <v/>
      </c>
      <c r="E126" s="137" t="str">
        <f>IF($U126="Pending Allocation", IF(MAX($E$4:E125)+1=0, "", MAX($E$4:E125)+1), "")</f>
        <v/>
      </c>
      <c r="F126" s="137"/>
      <c r="G126" s="137"/>
      <c r="H126" s="150"/>
      <c r="I126" s="150"/>
      <c r="J126" s="68" t="str">
        <f>IF(OpenPendingCases[[#This Row],[Timepiece Reference ]]="", "", IF(_xlfn.XLOOKUP(OpenPendingCases[[#This Row],[Timepiece Reference ]], Table1[[Timepiece Reference ]], Table1[CRC STOCK], "Not Found")="YES", "CRC Stock", "Boutique Stock"))</f>
        <v/>
      </c>
      <c r="K126" s="137" t="str">
        <f>IF(OpenPendingCases[[#This Row],[Timepiece Reference ]]="", "", IF(_xlfn.XLOOKUP(OpenPendingCases[[#This Row],[Timepiece Reference ]], Table1[[Timepiece Reference ]], Table1[CRC STOCK], "Not Found")="YES", "CRC Stock", "Boutique Stock"))</f>
        <v/>
      </c>
      <c r="L126" s="140"/>
      <c r="M126" s="141"/>
      <c r="N126" s="137"/>
      <c r="O126" s="134"/>
      <c r="P126" s="94" t="str">
        <f>IFERROR(VLOOKUP(TRIM(O126), Collection!$B$2:$D$1001, 2, FALSE), "")</f>
        <v/>
      </c>
      <c r="Q126" s="190" t="str">
        <f>IFERROR(VLOOKUP(TRIM(O126), Collection!$B$2:$D$1001, 3, FALSE), "")</f>
        <v/>
      </c>
      <c r="R126" s="153" t="str">
        <f t="shared" si="8"/>
        <v/>
      </c>
      <c r="S126" s="151"/>
      <c r="T126" s="158"/>
      <c r="U126" s="137"/>
      <c r="V126" s="137"/>
      <c r="W126" s="156" t="str">
        <f t="shared" si="15"/>
        <v/>
      </c>
      <c r="X126" s="157"/>
      <c r="Y126" s="158"/>
      <c r="Z126" s="158"/>
      <c r="AA126" s="137" t="str">
        <f t="shared" ca="1" si="13"/>
        <v/>
      </c>
      <c r="AB126" s="137" t="str">
        <f t="shared" ca="1" si="9"/>
        <v/>
      </c>
      <c r="AC126" s="160" t="str">
        <f t="shared" ca="1" si="10"/>
        <v/>
      </c>
      <c r="AD126" s="159" t="str">
        <f t="shared" ca="1" si="11"/>
        <v/>
      </c>
      <c r="AE126" s="161"/>
      <c r="AF126" s="161"/>
      <c r="AG126" s="161"/>
      <c r="AH126" s="137"/>
      <c r="AI126" s="164" t="str">
        <f t="shared" si="14"/>
        <v/>
      </c>
      <c r="AJ126" s="164" t="str">
        <f>IF(AND(OpenPendingCases[[#This Row],[Sale Status	]]="Open Sale",OpenPendingCases[[#This Row],[Potential Same Month]]="High"),TEXT(OpenPendingCases[[#This Row],[Request Entry Date]], "[$-en-us]mmmm"),"")</f>
        <v/>
      </c>
      <c r="AK126" s="165" t="str">
        <f>IFERROR(VALUE(SUBSTITUTE(OpenPendingCases[[#This Row],[Price]]," AED","")),"")</f>
        <v/>
      </c>
      <c r="AL126" s="165" t="str">
        <f>IFERROR(VALUE(LEFT(OpenPendingCases[[#This Row],[Price]],FIND(" ",OpenPendingCases[[#This Row],[Price]])-1)),"")</f>
        <v/>
      </c>
      <c r="AM126" s="165" t="str">
        <f>IFERROR(VALUE(_xlfn.TEXTBEFORE(OpenPendingCases[[#This Row],[Price]]," AED")),"")</f>
        <v/>
      </c>
      <c r="AN126" s="165"/>
    </row>
    <row r="127" spans="3:40" ht="18" hidden="1" x14ac:dyDescent="0.35">
      <c r="C127" s="134"/>
      <c r="D127" s="137" t="str">
        <f>IF($U127="Open Sale", IF(MAX($D$4:D126)+1=0, "", MAX($D$4:D126)+1), "")</f>
        <v/>
      </c>
      <c r="E127" s="137" t="str">
        <f>IF($U127="Pending Allocation", IF(MAX($E$4:E126)+1=0, "", MAX($E$4:E126)+1), "")</f>
        <v/>
      </c>
      <c r="F127" s="137"/>
      <c r="G127" s="137"/>
      <c r="H127" s="150"/>
      <c r="I127" s="150"/>
      <c r="J127" s="68" t="str">
        <f>IF(OpenPendingCases[[#This Row],[Timepiece Reference ]]="", "", IF(_xlfn.XLOOKUP(OpenPendingCases[[#This Row],[Timepiece Reference ]], Table1[[Timepiece Reference ]], Table1[CRC STOCK], "Not Found")="YES", "CRC Stock", "Boutique Stock"))</f>
        <v/>
      </c>
      <c r="K127" s="137" t="str">
        <f>IF(OpenPendingCases[[#This Row],[Timepiece Reference ]]="", "", IF(_xlfn.XLOOKUP(OpenPendingCases[[#This Row],[Timepiece Reference ]], Table1[[Timepiece Reference ]], Table1[CRC STOCK], "Not Found")="YES", "CRC Stock", "Boutique Stock"))</f>
        <v/>
      </c>
      <c r="L127" s="140"/>
      <c r="M127" s="141"/>
      <c r="N127" s="137"/>
      <c r="O127" s="134"/>
      <c r="P127" s="94" t="str">
        <f>IFERROR(VLOOKUP(TRIM(O127), Collection!$B$2:$D$1001, 2, FALSE), "")</f>
        <v/>
      </c>
      <c r="Q127" s="190" t="str">
        <f>IFERROR(VLOOKUP(TRIM(O127), Collection!$B$2:$D$1001, 3, FALSE), "")</f>
        <v/>
      </c>
      <c r="R127" s="153" t="str">
        <f t="shared" si="8"/>
        <v/>
      </c>
      <c r="S127" s="151"/>
      <c r="T127" s="158"/>
      <c r="U127" s="137"/>
      <c r="V127" s="137"/>
      <c r="W127" s="156" t="str">
        <f t="shared" si="15"/>
        <v/>
      </c>
      <c r="X127" s="157"/>
      <c r="Y127" s="158"/>
      <c r="Z127" s="158"/>
      <c r="AA127" s="137" t="str">
        <f t="shared" ca="1" si="13"/>
        <v/>
      </c>
      <c r="AB127" s="137" t="str">
        <f t="shared" ca="1" si="9"/>
        <v/>
      </c>
      <c r="AC127" s="160" t="str">
        <f t="shared" ca="1" si="10"/>
        <v/>
      </c>
      <c r="AD127" s="159" t="str">
        <f t="shared" ca="1" si="11"/>
        <v/>
      </c>
      <c r="AE127" s="161"/>
      <c r="AF127" s="161"/>
      <c r="AG127" s="161"/>
      <c r="AH127" s="137"/>
      <c r="AI127" s="164" t="str">
        <f t="shared" si="14"/>
        <v/>
      </c>
      <c r="AJ127" s="164" t="str">
        <f>IF(AND(OpenPendingCases[[#This Row],[Sale Status	]]="Open Sale",OpenPendingCases[[#This Row],[Potential Same Month]]="High"),TEXT(OpenPendingCases[[#This Row],[Request Entry Date]], "[$-en-us]mmmm"),"")</f>
        <v/>
      </c>
      <c r="AK127" s="165" t="str">
        <f>IFERROR(VALUE(SUBSTITUTE(OpenPendingCases[[#This Row],[Price]]," AED","")),"")</f>
        <v/>
      </c>
      <c r="AL127" s="165" t="str">
        <f>IFERROR(VALUE(LEFT(OpenPendingCases[[#This Row],[Price]],FIND(" ",OpenPendingCases[[#This Row],[Price]])-1)),"")</f>
        <v/>
      </c>
      <c r="AM127" s="165" t="str">
        <f>IFERROR(VALUE(_xlfn.TEXTBEFORE(OpenPendingCases[[#This Row],[Price]]," AED")),"")</f>
        <v/>
      </c>
      <c r="AN127" s="165"/>
    </row>
    <row r="128" spans="3:40" ht="18" hidden="1" x14ac:dyDescent="0.35">
      <c r="C128" s="134"/>
      <c r="D128" s="137" t="str">
        <f>IF($U128="Open Sale", IF(MAX($D$4:D127)+1=0, "", MAX($D$4:D127)+1), "")</f>
        <v/>
      </c>
      <c r="E128" s="137" t="str">
        <f>IF($U128="Pending Allocation", IF(MAX($E$4:E127)+1=0, "", MAX($E$4:E127)+1), "")</f>
        <v/>
      </c>
      <c r="F128" s="137"/>
      <c r="G128" s="137"/>
      <c r="H128" s="150"/>
      <c r="I128" s="150"/>
      <c r="J128" s="68" t="str">
        <f>IF(OpenPendingCases[[#This Row],[Timepiece Reference ]]="", "", IF(_xlfn.XLOOKUP(OpenPendingCases[[#This Row],[Timepiece Reference ]], Table1[[Timepiece Reference ]], Table1[CRC STOCK], "Not Found")="YES", "CRC Stock", "Boutique Stock"))</f>
        <v/>
      </c>
      <c r="K128" s="137" t="str">
        <f>IF(OpenPendingCases[[#This Row],[Timepiece Reference ]]="", "", IF(_xlfn.XLOOKUP(OpenPendingCases[[#This Row],[Timepiece Reference ]], Table1[[Timepiece Reference ]], Table1[CRC STOCK], "Not Found")="YES", "CRC Stock", "Boutique Stock"))</f>
        <v/>
      </c>
      <c r="L128" s="140"/>
      <c r="M128" s="141"/>
      <c r="N128" s="137"/>
      <c r="O128" s="134"/>
      <c r="P128" s="94" t="str">
        <f>IFERROR(VLOOKUP(TRIM(O128), Collection!$B$2:$D$1001, 2, FALSE), "")</f>
        <v/>
      </c>
      <c r="Q128" s="190" t="str">
        <f>IFERROR(VLOOKUP(TRIM(O128), Collection!$B$2:$D$1001, 3, FALSE), "")</f>
        <v/>
      </c>
      <c r="R128" s="153" t="str">
        <f t="shared" si="8"/>
        <v/>
      </c>
      <c r="S128" s="151"/>
      <c r="T128" s="158"/>
      <c r="U128" s="137"/>
      <c r="V128" s="137"/>
      <c r="W128" s="156" t="str">
        <f t="shared" si="15"/>
        <v/>
      </c>
      <c r="X128" s="157"/>
      <c r="Y128" s="158"/>
      <c r="Z128" s="158"/>
      <c r="AA128" s="137" t="str">
        <f t="shared" ca="1" si="13"/>
        <v/>
      </c>
      <c r="AB128" s="137" t="str">
        <f t="shared" ca="1" si="9"/>
        <v/>
      </c>
      <c r="AC128" s="160" t="str">
        <f t="shared" ca="1" si="10"/>
        <v/>
      </c>
      <c r="AD128" s="159" t="str">
        <f t="shared" ca="1" si="11"/>
        <v/>
      </c>
      <c r="AE128" s="161"/>
      <c r="AF128" s="161"/>
      <c r="AG128" s="161"/>
      <c r="AH128" s="137"/>
      <c r="AI128" s="164" t="str">
        <f t="shared" si="14"/>
        <v/>
      </c>
      <c r="AJ128" s="164" t="str">
        <f>IF(AND(OpenPendingCases[[#This Row],[Sale Status	]]="Open Sale",OpenPendingCases[[#This Row],[Potential Same Month]]="High"),TEXT(OpenPendingCases[[#This Row],[Request Entry Date]], "[$-en-us]mmmm"),"")</f>
        <v/>
      </c>
      <c r="AK128" s="165" t="str">
        <f>IFERROR(VALUE(SUBSTITUTE(OpenPendingCases[[#This Row],[Price]]," AED","")),"")</f>
        <v/>
      </c>
      <c r="AL128" s="165" t="str">
        <f>IFERROR(VALUE(LEFT(OpenPendingCases[[#This Row],[Price]],FIND(" ",OpenPendingCases[[#This Row],[Price]])-1)),"")</f>
        <v/>
      </c>
      <c r="AM128" s="165" t="str">
        <f>IFERROR(VALUE(_xlfn.TEXTBEFORE(OpenPendingCases[[#This Row],[Price]]," AED")),"")</f>
        <v/>
      </c>
      <c r="AN128" s="165"/>
    </row>
    <row r="129" spans="3:40" ht="18" hidden="1" x14ac:dyDescent="0.35">
      <c r="C129" s="134"/>
      <c r="D129" s="137" t="str">
        <f>IF($U129="Open Sale", IF(MAX($D$4:D128)+1=0, "", MAX($D$4:D128)+1), "")</f>
        <v/>
      </c>
      <c r="E129" s="137" t="str">
        <f>IF($U129="Pending Allocation", IF(MAX($E$4:E128)+1=0, "", MAX($E$4:E128)+1), "")</f>
        <v/>
      </c>
      <c r="F129" s="137"/>
      <c r="G129" s="137"/>
      <c r="H129" s="150"/>
      <c r="I129" s="150"/>
      <c r="J129" s="68" t="str">
        <f>IF(OpenPendingCases[[#This Row],[Timepiece Reference ]]="", "", IF(_xlfn.XLOOKUP(OpenPendingCases[[#This Row],[Timepiece Reference ]], Table1[[Timepiece Reference ]], Table1[CRC STOCK], "Not Found")="YES", "CRC Stock", "Boutique Stock"))</f>
        <v/>
      </c>
      <c r="K129" s="137" t="str">
        <f>IF(OpenPendingCases[[#This Row],[Timepiece Reference ]]="", "", IF(_xlfn.XLOOKUP(OpenPendingCases[[#This Row],[Timepiece Reference ]], Table1[[Timepiece Reference ]], Table1[CRC STOCK], "Not Found")="YES", "CRC Stock", "Boutique Stock"))</f>
        <v/>
      </c>
      <c r="L129" s="140"/>
      <c r="M129" s="141"/>
      <c r="N129" s="137"/>
      <c r="O129" s="134"/>
      <c r="P129" s="94" t="str">
        <f>IFERROR(VLOOKUP(TRIM(O129), Collection!$B$2:$D$1001, 2, FALSE), "")</f>
        <v/>
      </c>
      <c r="Q129" s="190" t="str">
        <f>IFERROR(VLOOKUP(TRIM(O129), Collection!$B$2:$D$1001, 3, FALSE), "")</f>
        <v/>
      </c>
      <c r="R129" s="153" t="str">
        <f t="shared" si="8"/>
        <v/>
      </c>
      <c r="S129" s="151"/>
      <c r="T129" s="158"/>
      <c r="U129" s="137"/>
      <c r="V129" s="137"/>
      <c r="W129" s="156" t="str">
        <f t="shared" si="15"/>
        <v/>
      </c>
      <c r="X129" s="157"/>
      <c r="Y129" s="158"/>
      <c r="Z129" s="158"/>
      <c r="AA129" s="137" t="str">
        <f t="shared" ca="1" si="13"/>
        <v/>
      </c>
      <c r="AB129" s="137" t="str">
        <f t="shared" ca="1" si="9"/>
        <v/>
      </c>
      <c r="AC129" s="160" t="str">
        <f t="shared" ca="1" si="10"/>
        <v/>
      </c>
      <c r="AD129" s="159" t="str">
        <f t="shared" ca="1" si="11"/>
        <v/>
      </c>
      <c r="AE129" s="161"/>
      <c r="AF129" s="161"/>
      <c r="AG129" s="161"/>
      <c r="AH129" s="137"/>
      <c r="AI129" s="164" t="str">
        <f t="shared" si="14"/>
        <v/>
      </c>
      <c r="AJ129" s="164" t="str">
        <f>IF(AND(OpenPendingCases[[#This Row],[Sale Status	]]="Open Sale",OpenPendingCases[[#This Row],[Potential Same Month]]="High"),TEXT(OpenPendingCases[[#This Row],[Request Entry Date]], "[$-en-us]mmmm"),"")</f>
        <v/>
      </c>
      <c r="AK129" s="165" t="str">
        <f>IFERROR(VALUE(SUBSTITUTE(OpenPendingCases[[#This Row],[Price]]," AED","")),"")</f>
        <v/>
      </c>
      <c r="AL129" s="165" t="str">
        <f>IFERROR(VALUE(LEFT(OpenPendingCases[[#This Row],[Price]],FIND(" ",OpenPendingCases[[#This Row],[Price]])-1)),"")</f>
        <v/>
      </c>
      <c r="AM129" s="165" t="str">
        <f>IFERROR(VALUE(_xlfn.TEXTBEFORE(OpenPendingCases[[#This Row],[Price]]," AED")),"")</f>
        <v/>
      </c>
      <c r="AN129" s="165"/>
    </row>
    <row r="130" spans="3:40" ht="18" hidden="1" x14ac:dyDescent="0.35">
      <c r="C130" s="134"/>
      <c r="D130" s="137" t="str">
        <f>IF($U130="Open Sale", IF(MAX($D$4:D129)+1=0, "", MAX($D$4:D129)+1), "")</f>
        <v/>
      </c>
      <c r="E130" s="137" t="str">
        <f>IF($U130="Pending Allocation", IF(MAX($E$4:E129)+1=0, "", MAX($E$4:E129)+1), "")</f>
        <v/>
      </c>
      <c r="F130" s="137"/>
      <c r="G130" s="137"/>
      <c r="H130" s="150"/>
      <c r="I130" s="150"/>
      <c r="J130" s="68" t="str">
        <f>IF(OpenPendingCases[[#This Row],[Timepiece Reference ]]="", "", IF(_xlfn.XLOOKUP(OpenPendingCases[[#This Row],[Timepiece Reference ]], Table1[[Timepiece Reference ]], Table1[CRC STOCK], "Not Found")="YES", "CRC Stock", "Boutique Stock"))</f>
        <v/>
      </c>
      <c r="K130" s="137" t="str">
        <f>IF(OpenPendingCases[[#This Row],[Timepiece Reference ]]="", "", IF(_xlfn.XLOOKUP(OpenPendingCases[[#This Row],[Timepiece Reference ]], Table1[[Timepiece Reference ]], Table1[CRC STOCK], "Not Found")="YES", "CRC Stock", "Boutique Stock"))</f>
        <v/>
      </c>
      <c r="L130" s="140"/>
      <c r="M130" s="141"/>
      <c r="N130" s="137"/>
      <c r="O130" s="134"/>
      <c r="P130" s="94" t="str">
        <f>IFERROR(VLOOKUP(TRIM(O130), Collection!$B$2:$D$1001, 2, FALSE), "")</f>
        <v/>
      </c>
      <c r="Q130" s="190" t="str">
        <f>IFERROR(VLOOKUP(TRIM(O130), Collection!$B$2:$D$1001, 3, FALSE), "")</f>
        <v/>
      </c>
      <c r="R130" s="153" t="str">
        <f t="shared" si="8"/>
        <v/>
      </c>
      <c r="S130" s="151"/>
      <c r="T130" s="158"/>
      <c r="U130" s="137"/>
      <c r="V130" s="137"/>
      <c r="W130" s="156" t="str">
        <f t="shared" si="15"/>
        <v/>
      </c>
      <c r="X130" s="157"/>
      <c r="Y130" s="158"/>
      <c r="Z130" s="158"/>
      <c r="AA130" s="137" t="str">
        <f t="shared" ca="1" si="13"/>
        <v/>
      </c>
      <c r="AB130" s="137" t="str">
        <f t="shared" ca="1" si="9"/>
        <v/>
      </c>
      <c r="AC130" s="160" t="str">
        <f t="shared" ca="1" si="10"/>
        <v/>
      </c>
      <c r="AD130" s="159" t="str">
        <f t="shared" ca="1" si="11"/>
        <v/>
      </c>
      <c r="AE130" s="180"/>
      <c r="AF130" s="161"/>
      <c r="AG130" s="161"/>
      <c r="AH130" s="137"/>
      <c r="AI130" s="164" t="str">
        <f t="shared" si="14"/>
        <v/>
      </c>
      <c r="AJ130" s="164" t="str">
        <f>IF(AND(OpenPendingCases[[#This Row],[Sale Status	]]="Open Sale",OpenPendingCases[[#This Row],[Potential Same Month]]="High"),TEXT(OpenPendingCases[[#This Row],[Request Entry Date]], "[$-en-us]mmmm"),"")</f>
        <v/>
      </c>
      <c r="AK130" s="165" t="str">
        <f>IFERROR(VALUE(SUBSTITUTE(OpenPendingCases[[#This Row],[Price]]," AED","")),"")</f>
        <v/>
      </c>
      <c r="AL130" s="165" t="str">
        <f>IFERROR(VALUE(LEFT(OpenPendingCases[[#This Row],[Price]],FIND(" ",OpenPendingCases[[#This Row],[Price]])-1)),"")</f>
        <v/>
      </c>
      <c r="AM130" s="165" t="str">
        <f>IFERROR(VALUE(_xlfn.TEXTBEFORE(OpenPendingCases[[#This Row],[Price]]," AED")),"")</f>
        <v/>
      </c>
      <c r="AN130" s="165"/>
    </row>
    <row r="131" spans="3:40" ht="18" hidden="1" x14ac:dyDescent="0.35">
      <c r="C131" s="134"/>
      <c r="D131" s="137" t="str">
        <f>IF($U131="Open Sale", IF(MAX($D$4:D130)+1=0, "", MAX($D$4:D130)+1), "")</f>
        <v/>
      </c>
      <c r="E131" s="137" t="str">
        <f>IF($U131="Pending Allocation", IF(MAX($E$4:E130)+1=0, "", MAX($E$4:E130)+1), "")</f>
        <v/>
      </c>
      <c r="F131" s="137"/>
      <c r="G131" s="137"/>
      <c r="H131" s="150"/>
      <c r="I131" s="150"/>
      <c r="J131" s="68" t="str">
        <f>IF(OpenPendingCases[[#This Row],[Timepiece Reference ]]="", "", IF(_xlfn.XLOOKUP(OpenPendingCases[[#This Row],[Timepiece Reference ]], Table1[[Timepiece Reference ]], Table1[CRC STOCK], "Not Found")="YES", "CRC Stock", "Boutique Stock"))</f>
        <v/>
      </c>
      <c r="K131" s="137" t="str">
        <f>IF(OpenPendingCases[[#This Row],[Timepiece Reference ]]="", "", IF(_xlfn.XLOOKUP(OpenPendingCases[[#This Row],[Timepiece Reference ]], Table1[[Timepiece Reference ]], Table1[CRC STOCK], "Not Found")="YES", "CRC Stock", "Boutique Stock"))</f>
        <v/>
      </c>
      <c r="L131" s="140"/>
      <c r="M131" s="141"/>
      <c r="N131" s="137"/>
      <c r="O131" s="134"/>
      <c r="P131" s="94" t="str">
        <f>IFERROR(VLOOKUP(TRIM(O131), Collection!$B$2:$D$1001, 2, FALSE), "")</f>
        <v/>
      </c>
      <c r="Q131" s="190" t="str">
        <f>IFERROR(VLOOKUP(TRIM(O131), Collection!$B$2:$D$1001, 3, FALSE), "")</f>
        <v/>
      </c>
      <c r="R131" s="153" t="str">
        <f t="shared" ref="R131:R194" si="16">IFERROR(VALUE(SUBSTITUTE(SUBSTITUTE(Q131, "Price", ""), "AED", "")), "")</f>
        <v/>
      </c>
      <c r="S131" s="151"/>
      <c r="T131" s="158"/>
      <c r="U131" s="137"/>
      <c r="V131" s="137"/>
      <c r="W131" s="156" t="str">
        <f t="shared" si="15"/>
        <v/>
      </c>
      <c r="X131" s="157"/>
      <c r="Y131" s="158"/>
      <c r="Z131" s="158"/>
      <c r="AA131" s="137" t="str">
        <f t="shared" ca="1" si="13"/>
        <v/>
      </c>
      <c r="AB131" s="137" t="str">
        <f t="shared" ref="AB131:AB194" ca="1" si="17">IF(H131="", "", IF(OR(U131="Pending", U131="Pending Allocation"), CONCATENATE(TODAY()-H131, " Days"), IF(U131="Closed", "", "")))</f>
        <v/>
      </c>
      <c r="AC131" s="160" t="str">
        <f t="shared" ref="AC131:AC194" ca="1" si="18">IF(U131="Pending Allocation", IF(I131="", "", TODAY()-I131), "")</f>
        <v/>
      </c>
      <c r="AD131" s="159" t="str">
        <f t="shared" ref="AD131:AD194" ca="1" si="19">IF(U131="Open Sale", TEXT(TODAY()-I131, "0"),
   IF(U131="Pending", "",
      IF(U131="Closed Sale", "", "")))</f>
        <v/>
      </c>
      <c r="AE131" s="161"/>
      <c r="AF131" s="161"/>
      <c r="AG131" s="161"/>
      <c r="AH131" s="137"/>
      <c r="AI131" s="164" t="str">
        <f t="shared" si="14"/>
        <v/>
      </c>
      <c r="AJ131" s="164" t="str">
        <f>IF(AND(OpenPendingCases[[#This Row],[Sale Status	]]="Open Sale",OpenPendingCases[[#This Row],[Potential Same Month]]="High"),TEXT(OpenPendingCases[[#This Row],[Request Entry Date]], "[$-en-us]mmmm"),"")</f>
        <v/>
      </c>
      <c r="AK131" s="165" t="str">
        <f>IFERROR(VALUE(SUBSTITUTE(OpenPendingCases[[#This Row],[Price]]," AED","")),"")</f>
        <v/>
      </c>
      <c r="AL131" s="165" t="str">
        <f>IFERROR(VALUE(LEFT(OpenPendingCases[[#This Row],[Price]],FIND(" ",OpenPendingCases[[#This Row],[Price]])-1)),"")</f>
        <v/>
      </c>
      <c r="AM131" s="165" t="str">
        <f>IFERROR(VALUE(_xlfn.TEXTBEFORE(OpenPendingCases[[#This Row],[Price]]," AED")),"")</f>
        <v/>
      </c>
      <c r="AN131" s="165"/>
    </row>
    <row r="132" spans="3:40" ht="18" hidden="1" x14ac:dyDescent="0.35">
      <c r="C132" s="134"/>
      <c r="D132" s="137" t="str">
        <f>IF($U132="Open Sale", IF(MAX($D$4:D131)+1=0, "", MAX($D$4:D131)+1), "")</f>
        <v/>
      </c>
      <c r="E132" s="137" t="str">
        <f>IF($U132="Pending Allocation", IF(MAX($E$4:E131)+1=0, "", MAX($E$4:E131)+1), "")</f>
        <v/>
      </c>
      <c r="F132" s="137"/>
      <c r="G132" s="137"/>
      <c r="H132" s="150"/>
      <c r="I132" s="150"/>
      <c r="J132" s="68" t="str">
        <f>IF(OpenPendingCases[[#This Row],[Timepiece Reference ]]="", "", IF(_xlfn.XLOOKUP(OpenPendingCases[[#This Row],[Timepiece Reference ]], Table1[[Timepiece Reference ]], Table1[CRC STOCK], "Not Found")="YES", "CRC Stock", "Boutique Stock"))</f>
        <v/>
      </c>
      <c r="K132" s="137" t="str">
        <f>IF(OpenPendingCases[[#This Row],[Timepiece Reference ]]="", "", IF(_xlfn.XLOOKUP(OpenPendingCases[[#This Row],[Timepiece Reference ]], Table1[[Timepiece Reference ]], Table1[CRC STOCK], "Not Found")="YES", "CRC Stock", "Boutique Stock"))</f>
        <v/>
      </c>
      <c r="L132" s="140"/>
      <c r="M132" s="141"/>
      <c r="N132" s="137"/>
      <c r="O132" s="134"/>
      <c r="P132" s="94" t="str">
        <f>IFERROR(VLOOKUP(TRIM(O132), Collection!$B$2:$D$1001, 2, FALSE), "")</f>
        <v/>
      </c>
      <c r="Q132" s="190" t="str">
        <f>IFERROR(VLOOKUP(TRIM(O132), Collection!$B$2:$D$1001, 3, FALSE), "")</f>
        <v/>
      </c>
      <c r="R132" s="153" t="str">
        <f t="shared" si="16"/>
        <v/>
      </c>
      <c r="S132" s="151"/>
      <c r="T132" s="158"/>
      <c r="U132" s="137"/>
      <c r="V132" s="137"/>
      <c r="W132" s="156" t="str">
        <f t="shared" ref="W132:W195" si="20" xml:space="preserve"> IF(Z132 = "",
     "",
     TEXT(Z132, "mmmm"))</f>
        <v/>
      </c>
      <c r="X132" s="157"/>
      <c r="Y132" s="158"/>
      <c r="Z132" s="158"/>
      <c r="AA132" s="137" t="str">
        <f t="shared" ref="AA132:AA195" ca="1" si="21">IF(H132="", "", IF(U132="Open Sale", IF(TODAY()-H132=0, "0 Days", TEXT(TODAY()-H132, "0") &amp; " Days"), IF(U132="Closed Sale", AA132, "")))</f>
        <v/>
      </c>
      <c r="AB132" s="137" t="str">
        <f t="shared" ca="1" si="17"/>
        <v/>
      </c>
      <c r="AC132" s="160" t="str">
        <f t="shared" ca="1" si="18"/>
        <v/>
      </c>
      <c r="AD132" s="159" t="str">
        <f t="shared" ca="1" si="19"/>
        <v/>
      </c>
      <c r="AE132" s="161"/>
      <c r="AF132" s="161"/>
      <c r="AG132" s="161"/>
      <c r="AH132" s="137"/>
      <c r="AI132" s="164" t="str">
        <f t="shared" si="14"/>
        <v/>
      </c>
      <c r="AJ132" s="164" t="str">
        <f>IF(AND(OpenPendingCases[[#This Row],[Sale Status	]]="Open Sale",OpenPendingCases[[#This Row],[Potential Same Month]]="High"),TEXT(OpenPendingCases[[#This Row],[Request Entry Date]], "[$-en-us]mmmm"),"")</f>
        <v/>
      </c>
      <c r="AK132" s="165" t="str">
        <f>IFERROR(VALUE(SUBSTITUTE(OpenPendingCases[[#This Row],[Price]]," AED","")),"")</f>
        <v/>
      </c>
      <c r="AL132" s="165" t="str">
        <f>IFERROR(VALUE(LEFT(OpenPendingCases[[#This Row],[Price]],FIND(" ",OpenPendingCases[[#This Row],[Price]])-1)),"")</f>
        <v/>
      </c>
      <c r="AM132" s="165" t="str">
        <f>IFERROR(VALUE(_xlfn.TEXTBEFORE(OpenPendingCases[[#This Row],[Price]]," AED")),"")</f>
        <v/>
      </c>
      <c r="AN132" s="165"/>
    </row>
    <row r="133" spans="3:40" ht="18" hidden="1" x14ac:dyDescent="0.35">
      <c r="C133" s="134"/>
      <c r="D133" s="137" t="str">
        <f>IF($U133="Open Sale", IF(MAX($D$4:D132)+1=0, "", MAX($D$4:D132)+1), "")</f>
        <v/>
      </c>
      <c r="E133" s="137" t="str">
        <f>IF($U133="Pending Allocation", IF(MAX($E$4:E132)+1=0, "", MAX($E$4:E132)+1), "")</f>
        <v/>
      </c>
      <c r="F133" s="137"/>
      <c r="G133" s="137"/>
      <c r="H133" s="150"/>
      <c r="I133" s="150"/>
      <c r="J133" s="68" t="str">
        <f>IF(OpenPendingCases[[#This Row],[Timepiece Reference ]]="", "", IF(_xlfn.XLOOKUP(OpenPendingCases[[#This Row],[Timepiece Reference ]], Table1[[Timepiece Reference ]], Table1[CRC STOCK], "Not Found")="YES", "CRC Stock", "Boutique Stock"))</f>
        <v/>
      </c>
      <c r="K133" s="137" t="str">
        <f>IF(OpenPendingCases[[#This Row],[Timepiece Reference ]]="", "", IF(_xlfn.XLOOKUP(OpenPendingCases[[#This Row],[Timepiece Reference ]], Table1[[Timepiece Reference ]], Table1[CRC STOCK], "Not Found")="YES", "CRC Stock", "Boutique Stock"))</f>
        <v/>
      </c>
      <c r="L133" s="140"/>
      <c r="M133" s="141"/>
      <c r="N133" s="137"/>
      <c r="O133" s="134"/>
      <c r="P133" s="94" t="str">
        <f>IFERROR(VLOOKUP(TRIM(O133), Collection!$B$2:$D$1001, 2, FALSE), "")</f>
        <v/>
      </c>
      <c r="Q133" s="190" t="str">
        <f>IFERROR(VLOOKUP(TRIM(O133), Collection!$B$2:$D$1001, 3, FALSE), "")</f>
        <v/>
      </c>
      <c r="R133" s="153" t="str">
        <f t="shared" si="16"/>
        <v/>
      </c>
      <c r="S133" s="151"/>
      <c r="T133" s="158"/>
      <c r="U133" s="137"/>
      <c r="V133" s="137"/>
      <c r="W133" s="156" t="str">
        <f t="shared" si="20"/>
        <v/>
      </c>
      <c r="X133" s="157"/>
      <c r="Y133" s="158"/>
      <c r="Z133" s="158"/>
      <c r="AA133" s="137" t="str">
        <f t="shared" ca="1" si="21"/>
        <v/>
      </c>
      <c r="AB133" s="137" t="str">
        <f t="shared" ca="1" si="17"/>
        <v/>
      </c>
      <c r="AC133" s="160" t="str">
        <f t="shared" ca="1" si="18"/>
        <v/>
      </c>
      <c r="AD133" s="159" t="str">
        <f t="shared" ca="1" si="19"/>
        <v/>
      </c>
      <c r="AE133" s="161"/>
      <c r="AF133" s="161"/>
      <c r="AG133" s="161"/>
      <c r="AH133" s="137"/>
      <c r="AI133" s="164" t="str">
        <f t="shared" si="14"/>
        <v/>
      </c>
      <c r="AJ133" s="164" t="str">
        <f>IF(AND(OpenPendingCases[[#This Row],[Sale Status	]]="Open Sale",OpenPendingCases[[#This Row],[Potential Same Month]]="High"),TEXT(OpenPendingCases[[#This Row],[Request Entry Date]], "[$-en-us]mmmm"),"")</f>
        <v/>
      </c>
      <c r="AK133" s="165" t="str">
        <f>IFERROR(VALUE(SUBSTITUTE(OpenPendingCases[[#This Row],[Price]]," AED","")),"")</f>
        <v/>
      </c>
      <c r="AL133" s="165" t="str">
        <f>IFERROR(VALUE(LEFT(OpenPendingCases[[#This Row],[Price]],FIND(" ",OpenPendingCases[[#This Row],[Price]])-1)),"")</f>
        <v/>
      </c>
      <c r="AM133" s="165" t="str">
        <f>IFERROR(VALUE(_xlfn.TEXTBEFORE(OpenPendingCases[[#This Row],[Price]]," AED")),"")</f>
        <v/>
      </c>
      <c r="AN133" s="165"/>
    </row>
    <row r="134" spans="3:40" ht="18" hidden="1" x14ac:dyDescent="0.35">
      <c r="C134" s="181"/>
      <c r="D134" s="137" t="str">
        <f>IF($U134="Open Sale", IF(MAX($D$4:D133)+1=0, "", MAX($D$4:D133)+1), "")</f>
        <v/>
      </c>
      <c r="E134" s="137" t="str">
        <f>IF($U134="Pending Allocation", IF(MAX($E$4:E133)+1=0, "", MAX($E$4:E133)+1), "")</f>
        <v/>
      </c>
      <c r="F134" s="182"/>
      <c r="G134" s="182"/>
      <c r="H134" s="150"/>
      <c r="I134" s="150"/>
      <c r="J134" s="68" t="str">
        <f>IF(OpenPendingCases[[#This Row],[Timepiece Reference ]]="", "", IF(_xlfn.XLOOKUP(OpenPendingCases[[#This Row],[Timepiece Reference ]], Table1[[Timepiece Reference ]], Table1[CRC STOCK], "Not Found")="YES", "CRC Stock", "Boutique Stock"))</f>
        <v/>
      </c>
      <c r="K134" s="137" t="str">
        <f>IF(OpenPendingCases[[#This Row],[Timepiece Reference ]]="", "", IF(_xlfn.XLOOKUP(OpenPendingCases[[#This Row],[Timepiece Reference ]], Table1[[Timepiece Reference ]], Table1[CRC STOCK], "Not Found")="YES", "CRC Stock", "Boutique Stock"))</f>
        <v/>
      </c>
      <c r="L134" s="140"/>
      <c r="M134" s="141"/>
      <c r="N134" s="137"/>
      <c r="O134" s="134"/>
      <c r="P134" s="94" t="str">
        <f>IFERROR(VLOOKUP(TRIM(O134), Collection!$B$2:$D$1001, 2, FALSE), "")</f>
        <v/>
      </c>
      <c r="Q134" s="190" t="str">
        <f>IFERROR(VLOOKUP(TRIM(O134), Collection!$B$2:$D$1001, 3, FALSE), "")</f>
        <v/>
      </c>
      <c r="R134" s="153" t="str">
        <f t="shared" si="16"/>
        <v/>
      </c>
      <c r="S134" s="151"/>
      <c r="T134" s="158"/>
      <c r="U134" s="137"/>
      <c r="V134" s="137"/>
      <c r="W134" s="156" t="str">
        <f t="shared" si="20"/>
        <v/>
      </c>
      <c r="X134" s="157"/>
      <c r="Y134" s="158"/>
      <c r="Z134" s="158"/>
      <c r="AA134" s="137" t="str">
        <f t="shared" ca="1" si="21"/>
        <v/>
      </c>
      <c r="AB134" s="137" t="str">
        <f t="shared" ca="1" si="17"/>
        <v/>
      </c>
      <c r="AC134" s="160" t="str">
        <f t="shared" ca="1" si="18"/>
        <v/>
      </c>
      <c r="AD134" s="159" t="str">
        <f t="shared" ca="1" si="19"/>
        <v/>
      </c>
      <c r="AE134" s="161"/>
      <c r="AF134" s="161"/>
      <c r="AG134" s="161"/>
      <c r="AH134" s="137"/>
      <c r="AI134" s="164" t="str">
        <f t="shared" si="14"/>
        <v/>
      </c>
      <c r="AJ134" s="164" t="str">
        <f>IF(AND(OpenPendingCases[[#This Row],[Sale Status	]]="Open Sale",OpenPendingCases[[#This Row],[Potential Same Month]]="High"),TEXT(OpenPendingCases[[#This Row],[Request Entry Date]], "[$-en-us]mmmm"),"")</f>
        <v/>
      </c>
      <c r="AK134" s="165" t="str">
        <f>IFERROR(VALUE(SUBSTITUTE(OpenPendingCases[[#This Row],[Price]]," AED","")),"")</f>
        <v/>
      </c>
      <c r="AL134" s="165" t="str">
        <f>IFERROR(VALUE(LEFT(OpenPendingCases[[#This Row],[Price]],FIND(" ",OpenPendingCases[[#This Row],[Price]])-1)),"")</f>
        <v/>
      </c>
      <c r="AM134" s="165" t="str">
        <f>IFERROR(VALUE(_xlfn.TEXTBEFORE(OpenPendingCases[[#This Row],[Price]]," AED")),"")</f>
        <v/>
      </c>
      <c r="AN134" s="165"/>
    </row>
    <row r="135" spans="3:40" ht="18" hidden="1" x14ac:dyDescent="0.35">
      <c r="C135" s="134"/>
      <c r="D135" s="137" t="str">
        <f>IF($U135="Open Sale", IF(MAX($D$4:D134)+1=0, "", MAX($D$4:D134)+1), "")</f>
        <v/>
      </c>
      <c r="E135" s="137" t="str">
        <f>IF($U135="Pending Allocation", IF(MAX($E$4:E134)+1=0, "", MAX($E$4:E134)+1), "")</f>
        <v/>
      </c>
      <c r="F135" s="137"/>
      <c r="G135" s="137"/>
      <c r="H135" s="150"/>
      <c r="I135" s="150"/>
      <c r="J135" s="68" t="str">
        <f>IF(OpenPendingCases[[#This Row],[Timepiece Reference ]]="", "", IF(_xlfn.XLOOKUP(OpenPendingCases[[#This Row],[Timepiece Reference ]], Table1[[Timepiece Reference ]], Table1[CRC STOCK], "Not Found")="YES", "CRC Stock", "Boutique Stock"))</f>
        <v/>
      </c>
      <c r="K135" s="137" t="str">
        <f>IF(OpenPendingCases[[#This Row],[Timepiece Reference ]]="", "", IF(_xlfn.XLOOKUP(OpenPendingCases[[#This Row],[Timepiece Reference ]], Table1[[Timepiece Reference ]], Table1[CRC STOCK], "Not Found")="YES", "CRC Stock", "Boutique Stock"))</f>
        <v/>
      </c>
      <c r="L135" s="140"/>
      <c r="M135" s="141"/>
      <c r="N135" s="137"/>
      <c r="O135" s="134"/>
      <c r="P135" s="94" t="str">
        <f>IFERROR(VLOOKUP(TRIM(O135), Collection!$B$2:$D$1001, 2, FALSE), "")</f>
        <v/>
      </c>
      <c r="Q135" s="190" t="str">
        <f>IFERROR(VLOOKUP(TRIM(O135), Collection!$B$2:$D$1001, 3, FALSE), "")</f>
        <v/>
      </c>
      <c r="R135" s="153" t="str">
        <f t="shared" si="16"/>
        <v/>
      </c>
      <c r="S135" s="151"/>
      <c r="T135" s="158"/>
      <c r="U135" s="137"/>
      <c r="V135" s="137"/>
      <c r="W135" s="156" t="str">
        <f t="shared" si="20"/>
        <v/>
      </c>
      <c r="X135" s="157"/>
      <c r="Y135" s="158"/>
      <c r="Z135" s="158"/>
      <c r="AA135" s="137" t="str">
        <f t="shared" ca="1" si="21"/>
        <v/>
      </c>
      <c r="AB135" s="137" t="str">
        <f t="shared" ca="1" si="17"/>
        <v/>
      </c>
      <c r="AC135" s="160" t="str">
        <f t="shared" ca="1" si="18"/>
        <v/>
      </c>
      <c r="AD135" s="159" t="str">
        <f t="shared" ca="1" si="19"/>
        <v/>
      </c>
      <c r="AE135" s="161"/>
      <c r="AF135" s="161"/>
      <c r="AG135" s="161"/>
      <c r="AH135" s="137"/>
      <c r="AI135" s="164" t="str">
        <f t="shared" si="14"/>
        <v/>
      </c>
      <c r="AJ135" s="164" t="str">
        <f>IF(AND(OpenPendingCases[[#This Row],[Sale Status	]]="Open Sale",OpenPendingCases[[#This Row],[Potential Same Month]]="High"),TEXT(OpenPendingCases[[#This Row],[Request Entry Date]], "[$-en-us]mmmm"),"")</f>
        <v/>
      </c>
      <c r="AK135" s="165" t="str">
        <f>IFERROR(VALUE(SUBSTITUTE(OpenPendingCases[[#This Row],[Price]]," AED","")),"")</f>
        <v/>
      </c>
      <c r="AL135" s="165" t="str">
        <f>IFERROR(VALUE(LEFT(OpenPendingCases[[#This Row],[Price]],FIND(" ",OpenPendingCases[[#This Row],[Price]])-1)),"")</f>
        <v/>
      </c>
      <c r="AM135" s="165" t="str">
        <f>IFERROR(VALUE(_xlfn.TEXTBEFORE(OpenPendingCases[[#This Row],[Price]]," AED")),"")</f>
        <v/>
      </c>
      <c r="AN135" s="165"/>
    </row>
    <row r="136" spans="3:40" ht="18" hidden="1" x14ac:dyDescent="0.35">
      <c r="C136" s="134"/>
      <c r="D136" s="137" t="str">
        <f>IF($U136="Open Sale", IF(MAX($D$4:D135)+1=0, "", MAX($D$4:D135)+1), "")</f>
        <v/>
      </c>
      <c r="E136" s="137" t="str">
        <f>IF($U136="Pending Allocation", IF(MAX($E$4:E135)+1=0, "", MAX($E$4:E135)+1), "")</f>
        <v/>
      </c>
      <c r="F136" s="137"/>
      <c r="G136" s="137"/>
      <c r="H136" s="150"/>
      <c r="I136" s="150"/>
      <c r="J136" s="68" t="str">
        <f>IF(OpenPendingCases[[#This Row],[Timepiece Reference ]]="", "", IF(_xlfn.XLOOKUP(OpenPendingCases[[#This Row],[Timepiece Reference ]], Table1[[Timepiece Reference ]], Table1[CRC STOCK], "Not Found")="YES", "CRC Stock", "Boutique Stock"))</f>
        <v/>
      </c>
      <c r="K136" s="137" t="str">
        <f>IF(OpenPendingCases[[#This Row],[Timepiece Reference ]]="", "", IF(_xlfn.XLOOKUP(OpenPendingCases[[#This Row],[Timepiece Reference ]], Table1[[Timepiece Reference ]], Table1[CRC STOCK], "Not Found")="YES", "CRC Stock", "Boutique Stock"))</f>
        <v/>
      </c>
      <c r="L136" s="140"/>
      <c r="M136" s="141"/>
      <c r="N136" s="137"/>
      <c r="O136" s="134"/>
      <c r="P136" s="94" t="str">
        <f>IFERROR(VLOOKUP(TRIM(O136), Collection!$B$2:$D$1001, 2, FALSE), "")</f>
        <v/>
      </c>
      <c r="Q136" s="190" t="str">
        <f>IFERROR(VLOOKUP(TRIM(O136), Collection!$B$2:$D$1001, 3, FALSE), "")</f>
        <v/>
      </c>
      <c r="R136" s="153" t="str">
        <f t="shared" si="16"/>
        <v/>
      </c>
      <c r="S136" s="151"/>
      <c r="T136" s="158"/>
      <c r="U136" s="137"/>
      <c r="V136" s="137"/>
      <c r="W136" s="156" t="str">
        <f t="shared" si="20"/>
        <v/>
      </c>
      <c r="X136" s="157"/>
      <c r="Y136" s="158"/>
      <c r="Z136" s="158"/>
      <c r="AA136" s="137" t="str">
        <f t="shared" ca="1" si="21"/>
        <v/>
      </c>
      <c r="AB136" s="137" t="str">
        <f t="shared" ca="1" si="17"/>
        <v/>
      </c>
      <c r="AC136" s="160" t="str">
        <f t="shared" ca="1" si="18"/>
        <v/>
      </c>
      <c r="AD136" s="159" t="str">
        <f t="shared" ca="1" si="19"/>
        <v/>
      </c>
      <c r="AE136" s="161"/>
      <c r="AF136" s="161"/>
      <c r="AG136" s="161"/>
      <c r="AH136" s="137"/>
      <c r="AI136" s="164" t="str">
        <f t="shared" si="14"/>
        <v/>
      </c>
      <c r="AJ136" s="164" t="str">
        <f>IF(AND(OpenPendingCases[[#This Row],[Sale Status	]]="Open Sale",OpenPendingCases[[#This Row],[Potential Same Month]]="High"),TEXT(OpenPendingCases[[#This Row],[Request Entry Date]], "[$-en-us]mmmm"),"")</f>
        <v/>
      </c>
      <c r="AK136" s="165" t="str">
        <f>IFERROR(VALUE(SUBSTITUTE(OpenPendingCases[[#This Row],[Price]]," AED","")),"")</f>
        <v/>
      </c>
      <c r="AL136" s="165" t="str">
        <f>IFERROR(VALUE(LEFT(OpenPendingCases[[#This Row],[Price]],FIND(" ",OpenPendingCases[[#This Row],[Price]])-1)),"")</f>
        <v/>
      </c>
      <c r="AM136" s="165" t="str">
        <f>IFERROR(VALUE(_xlfn.TEXTBEFORE(OpenPendingCases[[#This Row],[Price]]," AED")),"")</f>
        <v/>
      </c>
      <c r="AN136" s="165"/>
    </row>
    <row r="137" spans="3:40" ht="18" hidden="1" x14ac:dyDescent="0.35">
      <c r="C137" s="134"/>
      <c r="D137" s="137" t="str">
        <f>IF($U137="Open Sale", IF(MAX($D$4:D136)+1=0, "", MAX($D$4:D136)+1), "")</f>
        <v/>
      </c>
      <c r="E137" s="137" t="str">
        <f>IF($U137="Pending Allocation", IF(MAX($E$4:E136)+1=0, "", MAX($E$4:E136)+1), "")</f>
        <v/>
      </c>
      <c r="F137" s="137"/>
      <c r="G137" s="137"/>
      <c r="H137" s="150"/>
      <c r="I137" s="150"/>
      <c r="J137" s="68" t="str">
        <f>IF(OpenPendingCases[[#This Row],[Timepiece Reference ]]="", "", IF(_xlfn.XLOOKUP(OpenPendingCases[[#This Row],[Timepiece Reference ]], Table1[[Timepiece Reference ]], Table1[CRC STOCK], "Not Found")="YES", "CRC Stock", "Boutique Stock"))</f>
        <v/>
      </c>
      <c r="K137" s="137" t="str">
        <f>IF(OpenPendingCases[[#This Row],[Timepiece Reference ]]="", "", IF(_xlfn.XLOOKUP(OpenPendingCases[[#This Row],[Timepiece Reference ]], Table1[[Timepiece Reference ]], Table1[CRC STOCK], "Not Found")="YES", "CRC Stock", "Boutique Stock"))</f>
        <v/>
      </c>
      <c r="L137" s="140"/>
      <c r="M137" s="141"/>
      <c r="N137" s="137"/>
      <c r="O137" s="134"/>
      <c r="P137" s="94" t="str">
        <f>IFERROR(VLOOKUP(TRIM(O137), Collection!$B$2:$D$1001, 2, FALSE), "")</f>
        <v/>
      </c>
      <c r="Q137" s="190" t="str">
        <f>IFERROR(VLOOKUP(TRIM(O137), Collection!$B$2:$D$1001, 3, FALSE), "")</f>
        <v/>
      </c>
      <c r="R137" s="153" t="str">
        <f t="shared" si="16"/>
        <v/>
      </c>
      <c r="S137" s="151"/>
      <c r="T137" s="158"/>
      <c r="U137" s="137"/>
      <c r="V137" s="137"/>
      <c r="W137" s="156" t="str">
        <f t="shared" si="20"/>
        <v/>
      </c>
      <c r="X137" s="157"/>
      <c r="Y137" s="158"/>
      <c r="Z137" s="158"/>
      <c r="AA137" s="137" t="str">
        <f t="shared" ca="1" si="21"/>
        <v/>
      </c>
      <c r="AB137" s="137" t="str">
        <f t="shared" ca="1" si="17"/>
        <v/>
      </c>
      <c r="AC137" s="160" t="str">
        <f t="shared" ca="1" si="18"/>
        <v/>
      </c>
      <c r="AD137" s="159" t="str">
        <f t="shared" ca="1" si="19"/>
        <v/>
      </c>
      <c r="AE137" s="161"/>
      <c r="AF137" s="161"/>
      <c r="AG137" s="161"/>
      <c r="AH137" s="137"/>
      <c r="AI137" s="164" t="str">
        <f t="shared" si="14"/>
        <v/>
      </c>
      <c r="AJ137" s="164" t="str">
        <f>IF(AND(OpenPendingCases[[#This Row],[Sale Status	]]="Open Sale",OpenPendingCases[[#This Row],[Potential Same Month]]="High"),TEXT(OpenPendingCases[[#This Row],[Request Entry Date]], "[$-en-us]mmmm"),"")</f>
        <v/>
      </c>
      <c r="AK137" s="165" t="str">
        <f>IFERROR(VALUE(SUBSTITUTE(OpenPendingCases[[#This Row],[Price]]," AED","")),"")</f>
        <v/>
      </c>
      <c r="AL137" s="165" t="str">
        <f>IFERROR(VALUE(LEFT(OpenPendingCases[[#This Row],[Price]],FIND(" ",OpenPendingCases[[#This Row],[Price]])-1)),"")</f>
        <v/>
      </c>
      <c r="AM137" s="165" t="str">
        <f>IFERROR(VALUE(_xlfn.TEXTBEFORE(OpenPendingCases[[#This Row],[Price]]," AED")),"")</f>
        <v/>
      </c>
      <c r="AN137" s="165"/>
    </row>
    <row r="138" spans="3:40" ht="18" hidden="1" x14ac:dyDescent="0.35">
      <c r="C138" s="134"/>
      <c r="D138" s="137" t="str">
        <f>IF($U138="Open Sale", IF(MAX($D$4:D137)+1=0, "", MAX($D$4:D137)+1), "")</f>
        <v/>
      </c>
      <c r="E138" s="137" t="str">
        <f>IF($U138="Pending Allocation", IF(MAX($E$4:E137)+1=0, "", MAX($E$4:E137)+1), "")</f>
        <v/>
      </c>
      <c r="F138" s="137"/>
      <c r="G138" s="137"/>
      <c r="H138" s="150"/>
      <c r="I138" s="150"/>
      <c r="J138" s="68" t="str">
        <f>IF(OpenPendingCases[[#This Row],[Timepiece Reference ]]="", "", IF(_xlfn.XLOOKUP(OpenPendingCases[[#This Row],[Timepiece Reference ]], Table1[[Timepiece Reference ]], Table1[CRC STOCK], "Not Found")="YES", "CRC Stock", "Boutique Stock"))</f>
        <v/>
      </c>
      <c r="K138" s="137" t="str">
        <f>IF(OpenPendingCases[[#This Row],[Timepiece Reference ]]="", "", IF(_xlfn.XLOOKUP(OpenPendingCases[[#This Row],[Timepiece Reference ]], Table1[[Timepiece Reference ]], Table1[CRC STOCK], "Not Found")="YES", "CRC Stock", "Boutique Stock"))</f>
        <v/>
      </c>
      <c r="L138" s="140"/>
      <c r="M138" s="141"/>
      <c r="N138" s="137"/>
      <c r="O138" s="134"/>
      <c r="P138" s="94" t="str">
        <f>IFERROR(VLOOKUP(TRIM(O138), Collection!$B$2:$D$1001, 2, FALSE), "")</f>
        <v/>
      </c>
      <c r="Q138" s="190" t="str">
        <f>IFERROR(VLOOKUP(TRIM(O138), Collection!$B$2:$D$1001, 3, FALSE), "")</f>
        <v/>
      </c>
      <c r="R138" s="153" t="str">
        <f t="shared" si="16"/>
        <v/>
      </c>
      <c r="S138" s="151"/>
      <c r="T138" s="158"/>
      <c r="U138" s="137"/>
      <c r="V138" s="137"/>
      <c r="W138" s="156" t="str">
        <f t="shared" si="20"/>
        <v/>
      </c>
      <c r="X138" s="157"/>
      <c r="Y138" s="158"/>
      <c r="Z138" s="158"/>
      <c r="AA138" s="137" t="str">
        <f t="shared" ca="1" si="21"/>
        <v/>
      </c>
      <c r="AB138" s="137" t="str">
        <f t="shared" ca="1" si="17"/>
        <v/>
      </c>
      <c r="AC138" s="160" t="str">
        <f t="shared" ca="1" si="18"/>
        <v/>
      </c>
      <c r="AD138" s="159" t="str">
        <f t="shared" ca="1" si="19"/>
        <v/>
      </c>
      <c r="AE138" s="161"/>
      <c r="AF138" s="161"/>
      <c r="AG138" s="161"/>
      <c r="AH138" s="137"/>
      <c r="AI138" s="164" t="str">
        <f t="shared" si="14"/>
        <v/>
      </c>
      <c r="AJ138" s="164" t="str">
        <f>IF(AND(OpenPendingCases[[#This Row],[Sale Status	]]="Open Sale",OpenPendingCases[[#This Row],[Potential Same Month]]="High"),TEXT(OpenPendingCases[[#This Row],[Request Entry Date]], "[$-en-us]mmmm"),"")</f>
        <v/>
      </c>
      <c r="AK138" s="165" t="str">
        <f>IFERROR(VALUE(SUBSTITUTE(OpenPendingCases[[#This Row],[Price]]," AED","")),"")</f>
        <v/>
      </c>
      <c r="AL138" s="165" t="str">
        <f>IFERROR(VALUE(LEFT(OpenPendingCases[[#This Row],[Price]],FIND(" ",OpenPendingCases[[#This Row],[Price]])-1)),"")</f>
        <v/>
      </c>
      <c r="AM138" s="165" t="str">
        <f>IFERROR(VALUE(_xlfn.TEXTBEFORE(OpenPendingCases[[#This Row],[Price]]," AED")),"")</f>
        <v/>
      </c>
      <c r="AN138" s="165"/>
    </row>
    <row r="139" spans="3:40" ht="18" hidden="1" x14ac:dyDescent="0.35">
      <c r="C139" s="134"/>
      <c r="D139" s="137" t="str">
        <f>IF($U139="Open Sale", IF(MAX($D$4:D138)+1=0, "", MAX($D$4:D138)+1), "")</f>
        <v/>
      </c>
      <c r="E139" s="137" t="str">
        <f>IF($U139="Pending Allocation", IF(MAX($E$4:E138)+1=0, "", MAX($E$4:E138)+1), "")</f>
        <v/>
      </c>
      <c r="F139" s="137"/>
      <c r="G139" s="137"/>
      <c r="H139" s="150"/>
      <c r="I139" s="150"/>
      <c r="J139" s="68" t="str">
        <f>IF(OpenPendingCases[[#This Row],[Timepiece Reference ]]="", "", IF(_xlfn.XLOOKUP(OpenPendingCases[[#This Row],[Timepiece Reference ]], Table1[[Timepiece Reference ]], Table1[CRC STOCK], "Not Found")="YES", "CRC Stock", "Boutique Stock"))</f>
        <v/>
      </c>
      <c r="K139" s="137" t="str">
        <f>IF(OpenPendingCases[[#This Row],[Timepiece Reference ]]="", "", IF(_xlfn.XLOOKUP(OpenPendingCases[[#This Row],[Timepiece Reference ]], Table1[[Timepiece Reference ]], Table1[CRC STOCK], "Not Found")="YES", "CRC Stock", "Boutique Stock"))</f>
        <v/>
      </c>
      <c r="L139" s="140"/>
      <c r="M139" s="141"/>
      <c r="N139" s="137"/>
      <c r="O139" s="134"/>
      <c r="P139" s="94" t="str">
        <f>IFERROR(VLOOKUP(TRIM(O139), Collection!$B$2:$D$1001, 2, FALSE), "")</f>
        <v/>
      </c>
      <c r="Q139" s="190" t="str">
        <f>IFERROR(VLOOKUP(TRIM(O139), Collection!$B$2:$D$1001, 3, FALSE), "")</f>
        <v/>
      </c>
      <c r="R139" s="153" t="str">
        <f t="shared" si="16"/>
        <v/>
      </c>
      <c r="S139" s="151"/>
      <c r="T139" s="158"/>
      <c r="U139" s="137"/>
      <c r="V139" s="137"/>
      <c r="W139" s="156" t="str">
        <f t="shared" si="20"/>
        <v/>
      </c>
      <c r="X139" s="157"/>
      <c r="Y139" s="158"/>
      <c r="Z139" s="158"/>
      <c r="AA139" s="137" t="str">
        <f t="shared" ca="1" si="21"/>
        <v/>
      </c>
      <c r="AB139" s="137" t="str">
        <f t="shared" ca="1" si="17"/>
        <v/>
      </c>
      <c r="AC139" s="160" t="str">
        <f t="shared" ca="1" si="18"/>
        <v/>
      </c>
      <c r="AD139" s="159" t="str">
        <f t="shared" ca="1" si="19"/>
        <v/>
      </c>
      <c r="AE139" s="161"/>
      <c r="AF139" s="161"/>
      <c r="AG139" s="161"/>
      <c r="AH139" s="137"/>
      <c r="AI139" s="164" t="str">
        <f t="shared" si="14"/>
        <v/>
      </c>
      <c r="AJ139" s="164" t="str">
        <f>IF(AND(OpenPendingCases[[#This Row],[Sale Status	]]="Open Sale",OpenPendingCases[[#This Row],[Potential Same Month]]="High"),TEXT(OpenPendingCases[[#This Row],[Request Entry Date]], "[$-en-us]mmmm"),"")</f>
        <v/>
      </c>
      <c r="AK139" s="165" t="str">
        <f>IFERROR(VALUE(SUBSTITUTE(OpenPendingCases[[#This Row],[Price]]," AED","")),"")</f>
        <v/>
      </c>
      <c r="AL139" s="165" t="str">
        <f>IFERROR(VALUE(LEFT(OpenPendingCases[[#This Row],[Price]],FIND(" ",OpenPendingCases[[#This Row],[Price]])-1)),"")</f>
        <v/>
      </c>
      <c r="AM139" s="165" t="str">
        <f>IFERROR(VALUE(_xlfn.TEXTBEFORE(OpenPendingCases[[#This Row],[Price]]," AED")),"")</f>
        <v/>
      </c>
      <c r="AN139" s="165"/>
    </row>
    <row r="140" spans="3:40" ht="18" hidden="1" x14ac:dyDescent="0.35">
      <c r="C140" s="134"/>
      <c r="D140" s="137" t="str">
        <f>IF($U140="Open Sale", IF(MAX($D$4:D139)+1=0, "", MAX($D$4:D139)+1), "")</f>
        <v/>
      </c>
      <c r="E140" s="137" t="str">
        <f>IF($U140="Pending Allocation", IF(MAX($E$4:E139)+1=0, "", MAX($E$4:E139)+1), "")</f>
        <v/>
      </c>
      <c r="F140" s="137"/>
      <c r="G140" s="137"/>
      <c r="H140" s="150"/>
      <c r="I140" s="150"/>
      <c r="J140" s="68" t="str">
        <f>IF(OpenPendingCases[[#This Row],[Timepiece Reference ]]="", "", IF(_xlfn.XLOOKUP(OpenPendingCases[[#This Row],[Timepiece Reference ]], Table1[[Timepiece Reference ]], Table1[CRC STOCK], "Not Found")="YES", "CRC Stock", "Boutique Stock"))</f>
        <v/>
      </c>
      <c r="K140" s="137" t="str">
        <f>IF(OpenPendingCases[[#This Row],[Timepiece Reference ]]="", "", IF(_xlfn.XLOOKUP(OpenPendingCases[[#This Row],[Timepiece Reference ]], Table1[[Timepiece Reference ]], Table1[CRC STOCK], "Not Found")="YES", "CRC Stock", "Boutique Stock"))</f>
        <v/>
      </c>
      <c r="L140" s="140"/>
      <c r="M140" s="141"/>
      <c r="N140" s="137"/>
      <c r="O140" s="134"/>
      <c r="P140" s="94" t="str">
        <f>IFERROR(VLOOKUP(TRIM(O140), Collection!$B$2:$D$1001, 2, FALSE), "")</f>
        <v/>
      </c>
      <c r="Q140" s="190" t="str">
        <f>IFERROR(VLOOKUP(TRIM(O140), Collection!$B$2:$D$1001, 3, FALSE), "")</f>
        <v/>
      </c>
      <c r="R140" s="153" t="str">
        <f t="shared" si="16"/>
        <v/>
      </c>
      <c r="S140" s="151"/>
      <c r="T140" s="158"/>
      <c r="U140" s="137"/>
      <c r="V140" s="137"/>
      <c r="W140" s="156" t="str">
        <f t="shared" si="20"/>
        <v/>
      </c>
      <c r="X140" s="157"/>
      <c r="Y140" s="158"/>
      <c r="Z140" s="158"/>
      <c r="AA140" s="137" t="str">
        <f t="shared" ca="1" si="21"/>
        <v/>
      </c>
      <c r="AB140" s="137" t="str">
        <f t="shared" ca="1" si="17"/>
        <v/>
      </c>
      <c r="AC140" s="160" t="str">
        <f t="shared" ca="1" si="18"/>
        <v/>
      </c>
      <c r="AD140" s="159" t="str">
        <f t="shared" ca="1" si="19"/>
        <v/>
      </c>
      <c r="AE140" s="161"/>
      <c r="AF140" s="161"/>
      <c r="AG140" s="161"/>
      <c r="AH140" s="137"/>
      <c r="AI140" s="164" t="str">
        <f t="shared" si="14"/>
        <v/>
      </c>
      <c r="AJ140" s="164" t="str">
        <f>IF(AND(OpenPendingCases[[#This Row],[Sale Status	]]="Open Sale",OpenPendingCases[[#This Row],[Potential Same Month]]="High"),TEXT(OpenPendingCases[[#This Row],[Request Entry Date]], "[$-en-us]mmmm"),"")</f>
        <v/>
      </c>
      <c r="AK140" s="165" t="str">
        <f>IFERROR(VALUE(SUBSTITUTE(OpenPendingCases[[#This Row],[Price]]," AED","")),"")</f>
        <v/>
      </c>
      <c r="AL140" s="165" t="str">
        <f>IFERROR(VALUE(LEFT(OpenPendingCases[[#This Row],[Price]],FIND(" ",OpenPendingCases[[#This Row],[Price]])-1)),"")</f>
        <v/>
      </c>
      <c r="AM140" s="165" t="str">
        <f>IFERROR(VALUE(_xlfn.TEXTBEFORE(OpenPendingCases[[#This Row],[Price]]," AED")),"")</f>
        <v/>
      </c>
      <c r="AN140" s="165"/>
    </row>
    <row r="141" spans="3:40" ht="18" hidden="1" x14ac:dyDescent="0.35">
      <c r="C141" s="134"/>
      <c r="D141" s="137" t="str">
        <f>IF($U141="Open Sale", IF(MAX($D$4:D140)+1=0, "", MAX($D$4:D140)+1), "")</f>
        <v/>
      </c>
      <c r="E141" s="137" t="str">
        <f>IF($U141="Pending Allocation", IF(MAX($E$4:E140)+1=0, "", MAX($E$4:E140)+1), "")</f>
        <v/>
      </c>
      <c r="F141" s="137"/>
      <c r="G141" s="137"/>
      <c r="H141" s="150"/>
      <c r="I141" s="150"/>
      <c r="J141" s="68" t="str">
        <f>IF(OpenPendingCases[[#This Row],[Timepiece Reference ]]="", "", IF(_xlfn.XLOOKUP(OpenPendingCases[[#This Row],[Timepiece Reference ]], Table1[[Timepiece Reference ]], Table1[CRC STOCK], "Not Found")="YES", "CRC Stock", "Boutique Stock"))</f>
        <v/>
      </c>
      <c r="K141" s="137" t="str">
        <f>IF(OpenPendingCases[[#This Row],[Timepiece Reference ]]="", "", IF(_xlfn.XLOOKUP(OpenPendingCases[[#This Row],[Timepiece Reference ]], Table1[[Timepiece Reference ]], Table1[CRC STOCK], "Not Found")="YES", "CRC Stock", "Boutique Stock"))</f>
        <v/>
      </c>
      <c r="L141" s="140"/>
      <c r="M141" s="141"/>
      <c r="N141" s="137"/>
      <c r="O141" s="134"/>
      <c r="P141" s="94" t="str">
        <f>IFERROR(VLOOKUP(TRIM(O141), Collection!$B$2:$D$1001, 2, FALSE), "")</f>
        <v/>
      </c>
      <c r="Q141" s="190" t="str">
        <f>IFERROR(VLOOKUP(TRIM(O141), Collection!$B$2:$D$1001, 3, FALSE), "")</f>
        <v/>
      </c>
      <c r="R141" s="153" t="str">
        <f t="shared" si="16"/>
        <v/>
      </c>
      <c r="S141" s="151"/>
      <c r="T141" s="158"/>
      <c r="U141" s="137"/>
      <c r="V141" s="137"/>
      <c r="W141" s="156" t="str">
        <f t="shared" si="20"/>
        <v/>
      </c>
      <c r="X141" s="157"/>
      <c r="Y141" s="158"/>
      <c r="Z141" s="158"/>
      <c r="AA141" s="137" t="str">
        <f t="shared" ca="1" si="21"/>
        <v/>
      </c>
      <c r="AB141" s="137" t="str">
        <f t="shared" ca="1" si="17"/>
        <v/>
      </c>
      <c r="AC141" s="160" t="str">
        <f t="shared" ca="1" si="18"/>
        <v/>
      </c>
      <c r="AD141" s="159" t="str">
        <f t="shared" ca="1" si="19"/>
        <v/>
      </c>
      <c r="AE141" s="161"/>
      <c r="AF141" s="161"/>
      <c r="AG141" s="161"/>
      <c r="AH141" s="137"/>
      <c r="AI141" s="164" t="str">
        <f t="shared" si="14"/>
        <v/>
      </c>
      <c r="AJ141" s="164" t="str">
        <f>IF(AND(OpenPendingCases[[#This Row],[Sale Status	]]="Open Sale",OpenPendingCases[[#This Row],[Potential Same Month]]="High"),TEXT(OpenPendingCases[[#This Row],[Request Entry Date]], "[$-en-us]mmmm"),"")</f>
        <v/>
      </c>
      <c r="AK141" s="165" t="str">
        <f>IFERROR(VALUE(SUBSTITUTE(OpenPendingCases[[#This Row],[Price]]," AED","")),"")</f>
        <v/>
      </c>
      <c r="AL141" s="165" t="str">
        <f>IFERROR(VALUE(LEFT(OpenPendingCases[[#This Row],[Price]],FIND(" ",OpenPendingCases[[#This Row],[Price]])-1)),"")</f>
        <v/>
      </c>
      <c r="AM141" s="165" t="str">
        <f>IFERROR(VALUE(_xlfn.TEXTBEFORE(OpenPendingCases[[#This Row],[Price]]," AED")),"")</f>
        <v/>
      </c>
      <c r="AN141" s="165"/>
    </row>
    <row r="142" spans="3:40" ht="18" hidden="1" x14ac:dyDescent="0.35">
      <c r="C142" s="134"/>
      <c r="D142" s="137" t="str">
        <f>IF($U142="Open Sale", IF(MAX($D$4:D141)+1=0, "", MAX($D$4:D141)+1), "")</f>
        <v/>
      </c>
      <c r="E142" s="137" t="str">
        <f>IF($U142="Pending Allocation", IF(MAX($E$4:E141)+1=0, "", MAX($E$4:E141)+1), "")</f>
        <v/>
      </c>
      <c r="F142" s="137"/>
      <c r="G142" s="137"/>
      <c r="H142" s="150"/>
      <c r="I142" s="150"/>
      <c r="J142" s="68" t="str">
        <f>IF(OpenPendingCases[[#This Row],[Timepiece Reference ]]="", "", IF(_xlfn.XLOOKUP(OpenPendingCases[[#This Row],[Timepiece Reference ]], Table1[[Timepiece Reference ]], Table1[CRC STOCK], "Not Found")="YES", "CRC Stock", "Boutique Stock"))</f>
        <v/>
      </c>
      <c r="K142" s="137" t="str">
        <f>IF(OpenPendingCases[[#This Row],[Timepiece Reference ]]="", "", IF(_xlfn.XLOOKUP(OpenPendingCases[[#This Row],[Timepiece Reference ]], Table1[[Timepiece Reference ]], Table1[CRC STOCK], "Not Found")="YES", "CRC Stock", "Boutique Stock"))</f>
        <v/>
      </c>
      <c r="L142" s="140"/>
      <c r="M142" s="141"/>
      <c r="N142" s="137"/>
      <c r="O142" s="134"/>
      <c r="P142" s="94" t="str">
        <f>IFERROR(VLOOKUP(TRIM(O142), Collection!$B$2:$D$1001, 2, FALSE), "")</f>
        <v/>
      </c>
      <c r="Q142" s="190" t="str">
        <f>IFERROR(VLOOKUP(TRIM(O142), Collection!$B$2:$D$1001, 3, FALSE), "")</f>
        <v/>
      </c>
      <c r="R142" s="153" t="str">
        <f t="shared" si="16"/>
        <v/>
      </c>
      <c r="S142" s="151"/>
      <c r="T142" s="158"/>
      <c r="U142" s="137"/>
      <c r="V142" s="137"/>
      <c r="W142" s="156" t="str">
        <f t="shared" si="20"/>
        <v/>
      </c>
      <c r="X142" s="157"/>
      <c r="Y142" s="158"/>
      <c r="Z142" s="158"/>
      <c r="AA142" s="137" t="str">
        <f t="shared" ca="1" si="21"/>
        <v/>
      </c>
      <c r="AB142" s="137" t="str">
        <f t="shared" ca="1" si="17"/>
        <v/>
      </c>
      <c r="AC142" s="160" t="str">
        <f t="shared" ca="1" si="18"/>
        <v/>
      </c>
      <c r="AD142" s="159" t="str">
        <f t="shared" ca="1" si="19"/>
        <v/>
      </c>
      <c r="AE142" s="161"/>
      <c r="AF142" s="161"/>
      <c r="AG142" s="161"/>
      <c r="AH142" s="137"/>
      <c r="AI142" s="164" t="str">
        <f t="shared" si="14"/>
        <v/>
      </c>
      <c r="AJ142" s="164" t="str">
        <f>IF(AND(OpenPendingCases[[#This Row],[Sale Status	]]="Open Sale",OpenPendingCases[[#This Row],[Potential Same Month]]="High"),TEXT(OpenPendingCases[[#This Row],[Request Entry Date]], "[$-en-us]mmmm"),"")</f>
        <v/>
      </c>
      <c r="AK142" s="165" t="str">
        <f>IFERROR(VALUE(SUBSTITUTE(OpenPendingCases[[#This Row],[Price]]," AED","")),"")</f>
        <v/>
      </c>
      <c r="AL142" s="165" t="str">
        <f>IFERROR(VALUE(LEFT(OpenPendingCases[[#This Row],[Price]],FIND(" ",OpenPendingCases[[#This Row],[Price]])-1)),"")</f>
        <v/>
      </c>
      <c r="AM142" s="165" t="str">
        <f>IFERROR(VALUE(_xlfn.TEXTBEFORE(OpenPendingCases[[#This Row],[Price]]," AED")),"")</f>
        <v/>
      </c>
      <c r="AN142" s="165"/>
    </row>
    <row r="143" spans="3:40" ht="18" hidden="1" x14ac:dyDescent="0.35">
      <c r="C143" s="134"/>
      <c r="D143" s="137" t="str">
        <f>IF($U143="Open Sale", IF(MAX($D$4:D142)+1=0, "", MAX($D$4:D142)+1), "")</f>
        <v/>
      </c>
      <c r="E143" s="137" t="str">
        <f>IF($U143="Pending Allocation", IF(MAX($E$4:E142)+1=0, "", MAX($E$4:E142)+1), "")</f>
        <v/>
      </c>
      <c r="F143" s="137"/>
      <c r="G143" s="137"/>
      <c r="H143" s="150"/>
      <c r="I143" s="150"/>
      <c r="J143" s="68" t="str">
        <f>IF(OpenPendingCases[[#This Row],[Timepiece Reference ]]="", "", IF(_xlfn.XLOOKUP(OpenPendingCases[[#This Row],[Timepiece Reference ]], Table1[[Timepiece Reference ]], Table1[CRC STOCK], "Not Found")="YES", "CRC Stock", "Boutique Stock"))</f>
        <v/>
      </c>
      <c r="K143" s="137" t="str">
        <f>IF(OpenPendingCases[[#This Row],[Timepiece Reference ]]="", "", IF(_xlfn.XLOOKUP(OpenPendingCases[[#This Row],[Timepiece Reference ]], Table1[[Timepiece Reference ]], Table1[CRC STOCK], "Not Found")="YES", "CRC Stock", "Boutique Stock"))</f>
        <v/>
      </c>
      <c r="L143" s="140"/>
      <c r="M143" s="141"/>
      <c r="N143" s="137"/>
      <c r="O143" s="134"/>
      <c r="P143" s="94" t="str">
        <f>IFERROR(VLOOKUP(TRIM(O143), Collection!$B$2:$D$1001, 2, FALSE), "")</f>
        <v/>
      </c>
      <c r="Q143" s="190" t="str">
        <f>IFERROR(VLOOKUP(TRIM(O143), Collection!$B$2:$D$1001, 3, FALSE), "")</f>
        <v/>
      </c>
      <c r="R143" s="153" t="str">
        <f t="shared" si="16"/>
        <v/>
      </c>
      <c r="S143" s="151"/>
      <c r="T143" s="158"/>
      <c r="U143" s="137"/>
      <c r="V143" s="137"/>
      <c r="W143" s="156" t="str">
        <f t="shared" si="20"/>
        <v/>
      </c>
      <c r="X143" s="157"/>
      <c r="Y143" s="158"/>
      <c r="Z143" s="158"/>
      <c r="AA143" s="137" t="str">
        <f t="shared" ca="1" si="21"/>
        <v/>
      </c>
      <c r="AB143" s="137" t="str">
        <f t="shared" ca="1" si="17"/>
        <v/>
      </c>
      <c r="AC143" s="160" t="str">
        <f t="shared" ca="1" si="18"/>
        <v/>
      </c>
      <c r="AD143" s="159" t="str">
        <f t="shared" ca="1" si="19"/>
        <v/>
      </c>
      <c r="AE143" s="161"/>
      <c r="AF143" s="161"/>
      <c r="AG143" s="161"/>
      <c r="AH143" s="137"/>
      <c r="AI143" s="164" t="str">
        <f t="shared" si="14"/>
        <v/>
      </c>
      <c r="AJ143" s="164" t="str">
        <f>IF(AND(OpenPendingCases[[#This Row],[Sale Status	]]="Open Sale",OpenPendingCases[[#This Row],[Potential Same Month]]="High"),TEXT(OpenPendingCases[[#This Row],[Request Entry Date]], "[$-en-us]mmmm"),"")</f>
        <v/>
      </c>
      <c r="AK143" s="165" t="str">
        <f>IFERROR(VALUE(SUBSTITUTE(OpenPendingCases[[#This Row],[Price]]," AED","")),"")</f>
        <v/>
      </c>
      <c r="AL143" s="165" t="str">
        <f>IFERROR(VALUE(LEFT(OpenPendingCases[[#This Row],[Price]],FIND(" ",OpenPendingCases[[#This Row],[Price]])-1)),"")</f>
        <v/>
      </c>
      <c r="AM143" s="165" t="str">
        <f>IFERROR(VALUE(_xlfn.TEXTBEFORE(OpenPendingCases[[#This Row],[Price]]," AED")),"")</f>
        <v/>
      </c>
      <c r="AN143" s="165"/>
    </row>
    <row r="144" spans="3:40" ht="18" hidden="1" x14ac:dyDescent="0.35">
      <c r="C144" s="134"/>
      <c r="D144" s="137" t="str">
        <f>IF($U144="Open Sale", IF(MAX($D$4:D143)+1=0, "", MAX($D$4:D143)+1), "")</f>
        <v/>
      </c>
      <c r="E144" s="137" t="str">
        <f>IF($U144="Pending Allocation", IF(MAX($E$4:E143)+1=0, "", MAX($E$4:E143)+1), "")</f>
        <v/>
      </c>
      <c r="F144" s="137"/>
      <c r="G144" s="137"/>
      <c r="H144" s="150"/>
      <c r="I144" s="150"/>
      <c r="J144" s="68" t="str">
        <f>IF(OpenPendingCases[[#This Row],[Timepiece Reference ]]="", "", IF(_xlfn.XLOOKUP(OpenPendingCases[[#This Row],[Timepiece Reference ]], Table1[[Timepiece Reference ]], Table1[CRC STOCK], "Not Found")="YES", "CRC Stock", "Boutique Stock"))</f>
        <v/>
      </c>
      <c r="K144" s="137" t="str">
        <f>IF(OpenPendingCases[[#This Row],[Timepiece Reference ]]="", "", IF(_xlfn.XLOOKUP(OpenPendingCases[[#This Row],[Timepiece Reference ]], Table1[[Timepiece Reference ]], Table1[CRC STOCK], "Not Found")="YES", "CRC Stock", "Boutique Stock"))</f>
        <v/>
      </c>
      <c r="L144" s="140"/>
      <c r="M144" s="141"/>
      <c r="N144" s="137"/>
      <c r="O144" s="134"/>
      <c r="P144" s="94" t="str">
        <f>IFERROR(VLOOKUP(TRIM(O144), Collection!$B$2:$D$1001, 2, FALSE), "")</f>
        <v/>
      </c>
      <c r="Q144" s="190" t="str">
        <f>IFERROR(VLOOKUP(TRIM(O144), Collection!$B$2:$D$1001, 3, FALSE), "")</f>
        <v/>
      </c>
      <c r="R144" s="153" t="str">
        <f t="shared" si="16"/>
        <v/>
      </c>
      <c r="S144" s="151"/>
      <c r="T144" s="158"/>
      <c r="U144" s="137"/>
      <c r="V144" s="137"/>
      <c r="W144" s="156" t="str">
        <f t="shared" si="20"/>
        <v/>
      </c>
      <c r="X144" s="157"/>
      <c r="Y144" s="158"/>
      <c r="Z144" s="158"/>
      <c r="AA144" s="137" t="str">
        <f t="shared" ca="1" si="21"/>
        <v/>
      </c>
      <c r="AB144" s="137" t="str">
        <f t="shared" ca="1" si="17"/>
        <v/>
      </c>
      <c r="AC144" s="160" t="str">
        <f t="shared" ca="1" si="18"/>
        <v/>
      </c>
      <c r="AD144" s="159" t="str">
        <f t="shared" ca="1" si="19"/>
        <v/>
      </c>
      <c r="AE144" s="161"/>
      <c r="AF144" s="161"/>
      <c r="AG144" s="161"/>
      <c r="AH144" s="137"/>
      <c r="AI144" s="164" t="str">
        <f t="shared" si="14"/>
        <v/>
      </c>
      <c r="AJ144" s="164" t="str">
        <f>IF(AND(OpenPendingCases[[#This Row],[Sale Status	]]="Open Sale",OpenPendingCases[[#This Row],[Potential Same Month]]="High"),TEXT(OpenPendingCases[[#This Row],[Request Entry Date]], "[$-en-us]mmmm"),"")</f>
        <v/>
      </c>
      <c r="AK144" s="165" t="str">
        <f>IFERROR(VALUE(SUBSTITUTE(OpenPendingCases[[#This Row],[Price]]," AED","")),"")</f>
        <v/>
      </c>
      <c r="AL144" s="165" t="str">
        <f>IFERROR(VALUE(LEFT(OpenPendingCases[[#This Row],[Price]],FIND(" ",OpenPendingCases[[#This Row],[Price]])-1)),"")</f>
        <v/>
      </c>
      <c r="AM144" s="165" t="str">
        <f>IFERROR(VALUE(_xlfn.TEXTBEFORE(OpenPendingCases[[#This Row],[Price]]," AED")),"")</f>
        <v/>
      </c>
      <c r="AN144" s="165"/>
    </row>
    <row r="145" spans="3:40" ht="18" hidden="1" x14ac:dyDescent="0.35">
      <c r="C145" s="134"/>
      <c r="D145" s="137" t="str">
        <f>IF($U145="Open Sale", IF(MAX($D$4:D144)+1=0, "", MAX($D$4:D144)+1), "")</f>
        <v/>
      </c>
      <c r="E145" s="137" t="str">
        <f>IF($U145="Pending Allocation", IF(MAX($E$4:E144)+1=0, "", MAX($E$4:E144)+1), "")</f>
        <v/>
      </c>
      <c r="F145" s="137"/>
      <c r="G145" s="137"/>
      <c r="H145" s="150"/>
      <c r="I145" s="150"/>
      <c r="J145" s="68" t="str">
        <f>IF(OpenPendingCases[[#This Row],[Timepiece Reference ]]="", "", IF(_xlfn.XLOOKUP(OpenPendingCases[[#This Row],[Timepiece Reference ]], Table1[[Timepiece Reference ]], Table1[CRC STOCK], "Not Found")="YES", "CRC Stock", "Boutique Stock"))</f>
        <v/>
      </c>
      <c r="K145" s="137" t="str">
        <f>IF(OpenPendingCases[[#This Row],[Timepiece Reference ]]="", "", IF(_xlfn.XLOOKUP(OpenPendingCases[[#This Row],[Timepiece Reference ]], Table1[[Timepiece Reference ]], Table1[CRC STOCK], "Not Found")="YES", "CRC Stock", "Boutique Stock"))</f>
        <v/>
      </c>
      <c r="L145" s="140"/>
      <c r="M145" s="141"/>
      <c r="N145" s="137"/>
      <c r="O145" s="134"/>
      <c r="P145" s="94" t="str">
        <f>IFERROR(VLOOKUP(TRIM(O145), Collection!$B$2:$D$1001, 2, FALSE), "")</f>
        <v/>
      </c>
      <c r="Q145" s="190" t="str">
        <f>IFERROR(VLOOKUP(TRIM(O145), Collection!$B$2:$D$1001, 3, FALSE), "")</f>
        <v/>
      </c>
      <c r="R145" s="153" t="str">
        <f t="shared" si="16"/>
        <v/>
      </c>
      <c r="S145" s="151"/>
      <c r="T145" s="158"/>
      <c r="U145" s="137"/>
      <c r="V145" s="137"/>
      <c r="W145" s="156" t="str">
        <f t="shared" si="20"/>
        <v/>
      </c>
      <c r="X145" s="157"/>
      <c r="Y145" s="158"/>
      <c r="Z145" s="158"/>
      <c r="AA145" s="137" t="str">
        <f t="shared" ca="1" si="21"/>
        <v/>
      </c>
      <c r="AB145" s="137" t="str">
        <f t="shared" ca="1" si="17"/>
        <v/>
      </c>
      <c r="AC145" s="160" t="str">
        <f t="shared" ca="1" si="18"/>
        <v/>
      </c>
      <c r="AD145" s="159" t="str">
        <f t="shared" ca="1" si="19"/>
        <v/>
      </c>
      <c r="AE145" s="161"/>
      <c r="AF145" s="161"/>
      <c r="AG145" s="161"/>
      <c r="AH145" s="137"/>
      <c r="AI145" s="164" t="str">
        <f t="shared" si="14"/>
        <v/>
      </c>
      <c r="AJ145" s="164" t="str">
        <f>IF(AND(OpenPendingCases[[#This Row],[Sale Status	]]="Open Sale",OpenPendingCases[[#This Row],[Potential Same Month]]="High"),TEXT(OpenPendingCases[[#This Row],[Request Entry Date]], "[$-en-us]mmmm"),"")</f>
        <v/>
      </c>
      <c r="AK145" s="165" t="str">
        <f>IFERROR(VALUE(SUBSTITUTE(OpenPendingCases[[#This Row],[Price]]," AED","")),"")</f>
        <v/>
      </c>
      <c r="AL145" s="165" t="str">
        <f>IFERROR(VALUE(LEFT(OpenPendingCases[[#This Row],[Price]],FIND(" ",OpenPendingCases[[#This Row],[Price]])-1)),"")</f>
        <v/>
      </c>
      <c r="AM145" s="165" t="str">
        <f>IFERROR(VALUE(_xlfn.TEXTBEFORE(OpenPendingCases[[#This Row],[Price]]," AED")),"")</f>
        <v/>
      </c>
      <c r="AN145" s="165"/>
    </row>
    <row r="146" spans="3:40" ht="18" hidden="1" x14ac:dyDescent="0.35">
      <c r="C146" s="134"/>
      <c r="D146" s="137" t="str">
        <f>IF($U146="Open Sale", IF(MAX($D$4:D145)+1=0, "", MAX($D$4:D145)+1), "")</f>
        <v/>
      </c>
      <c r="E146" s="137" t="str">
        <f>IF($U146="Pending Allocation", IF(MAX($E$4:E145)+1=0, "", MAX($E$4:E145)+1), "")</f>
        <v/>
      </c>
      <c r="F146" s="137"/>
      <c r="G146" s="137"/>
      <c r="H146" s="150"/>
      <c r="I146" s="150"/>
      <c r="J146" s="68" t="str">
        <f>IF(OpenPendingCases[[#This Row],[Timepiece Reference ]]="", "", IF(_xlfn.XLOOKUP(OpenPendingCases[[#This Row],[Timepiece Reference ]], Table1[[Timepiece Reference ]], Table1[CRC STOCK], "Not Found")="YES", "CRC Stock", "Boutique Stock"))</f>
        <v/>
      </c>
      <c r="K146" s="137" t="str">
        <f>IF(OpenPendingCases[[#This Row],[Timepiece Reference ]]="", "", IF(_xlfn.XLOOKUP(OpenPendingCases[[#This Row],[Timepiece Reference ]], Table1[[Timepiece Reference ]], Table1[CRC STOCK], "Not Found")="YES", "CRC Stock", "Boutique Stock"))</f>
        <v/>
      </c>
      <c r="L146" s="140"/>
      <c r="M146" s="141"/>
      <c r="N146" s="137"/>
      <c r="O146" s="134"/>
      <c r="P146" s="94" t="str">
        <f>IFERROR(VLOOKUP(TRIM(O146), Collection!$B$2:$D$1001, 2, FALSE), "")</f>
        <v/>
      </c>
      <c r="Q146" s="190" t="str">
        <f>IFERROR(VLOOKUP(TRIM(O146), Collection!$B$2:$D$1001, 3, FALSE), "")</f>
        <v/>
      </c>
      <c r="R146" s="153" t="str">
        <f t="shared" si="16"/>
        <v/>
      </c>
      <c r="S146" s="151"/>
      <c r="T146" s="158"/>
      <c r="U146" s="137"/>
      <c r="V146" s="137"/>
      <c r="W146" s="156" t="str">
        <f t="shared" si="20"/>
        <v/>
      </c>
      <c r="X146" s="157"/>
      <c r="Y146" s="158"/>
      <c r="Z146" s="158"/>
      <c r="AA146" s="137" t="str">
        <f t="shared" ca="1" si="21"/>
        <v/>
      </c>
      <c r="AB146" s="137" t="str">
        <f t="shared" ca="1" si="17"/>
        <v/>
      </c>
      <c r="AC146" s="160" t="str">
        <f t="shared" ca="1" si="18"/>
        <v/>
      </c>
      <c r="AD146" s="159" t="str">
        <f t="shared" ca="1" si="19"/>
        <v/>
      </c>
      <c r="AE146" s="161"/>
      <c r="AF146" s="161"/>
      <c r="AG146" s="161"/>
      <c r="AH146" s="137"/>
      <c r="AI146" s="164" t="str">
        <f t="shared" si="14"/>
        <v/>
      </c>
      <c r="AJ146" s="164" t="str">
        <f>IF(AND(OpenPendingCases[[#This Row],[Sale Status	]]="Open Sale",OpenPendingCases[[#This Row],[Potential Same Month]]="High"),TEXT(OpenPendingCases[[#This Row],[Request Entry Date]], "[$-en-us]mmmm"),"")</f>
        <v/>
      </c>
      <c r="AK146" s="165" t="str">
        <f>IFERROR(VALUE(SUBSTITUTE(OpenPendingCases[[#This Row],[Price]]," AED","")),"")</f>
        <v/>
      </c>
      <c r="AL146" s="165" t="str">
        <f>IFERROR(VALUE(LEFT(OpenPendingCases[[#This Row],[Price]],FIND(" ",OpenPendingCases[[#This Row],[Price]])-1)),"")</f>
        <v/>
      </c>
      <c r="AM146" s="165" t="str">
        <f>IFERROR(VALUE(_xlfn.TEXTBEFORE(OpenPendingCases[[#This Row],[Price]]," AED")),"")</f>
        <v/>
      </c>
      <c r="AN146" s="165"/>
    </row>
    <row r="147" spans="3:40" ht="18" hidden="1" x14ac:dyDescent="0.35">
      <c r="C147" s="134"/>
      <c r="D147" s="137" t="str">
        <f>IF($U147="Open Sale", IF(MAX($D$4:D146)+1=0, "", MAX($D$4:D146)+1), "")</f>
        <v/>
      </c>
      <c r="E147" s="137" t="str">
        <f>IF($U147="Pending Allocation", IF(MAX($E$4:E146)+1=0, "", MAX($E$4:E146)+1), "")</f>
        <v/>
      </c>
      <c r="F147" s="137"/>
      <c r="G147" s="137"/>
      <c r="H147" s="150"/>
      <c r="I147" s="150"/>
      <c r="J147" s="68" t="str">
        <f>IF(OpenPendingCases[[#This Row],[Timepiece Reference ]]="", "", IF(_xlfn.XLOOKUP(OpenPendingCases[[#This Row],[Timepiece Reference ]], Table1[[Timepiece Reference ]], Table1[CRC STOCK], "Not Found")="YES", "CRC Stock", "Boutique Stock"))</f>
        <v/>
      </c>
      <c r="K147" s="137" t="str">
        <f>IF(OpenPendingCases[[#This Row],[Timepiece Reference ]]="", "", IF(_xlfn.XLOOKUP(OpenPendingCases[[#This Row],[Timepiece Reference ]], Table1[[Timepiece Reference ]], Table1[CRC STOCK], "Not Found")="YES", "CRC Stock", "Boutique Stock"))</f>
        <v/>
      </c>
      <c r="L147" s="140"/>
      <c r="M147" s="141"/>
      <c r="N147" s="137"/>
      <c r="O147" s="134"/>
      <c r="P147" s="94" t="str">
        <f>IFERROR(VLOOKUP(TRIM(O147), Collection!$B$2:$D$1001, 2, FALSE), "")</f>
        <v/>
      </c>
      <c r="Q147" s="190" t="str">
        <f>IFERROR(VLOOKUP(TRIM(O147), Collection!$B$2:$D$1001, 3, FALSE), "")</f>
        <v/>
      </c>
      <c r="R147" s="153" t="str">
        <f t="shared" si="16"/>
        <v/>
      </c>
      <c r="S147" s="151"/>
      <c r="T147" s="158"/>
      <c r="U147" s="137"/>
      <c r="V147" s="137"/>
      <c r="W147" s="156" t="str">
        <f t="shared" si="20"/>
        <v/>
      </c>
      <c r="X147" s="157"/>
      <c r="Y147" s="158"/>
      <c r="Z147" s="158"/>
      <c r="AA147" s="137" t="str">
        <f t="shared" ca="1" si="21"/>
        <v/>
      </c>
      <c r="AB147" s="137" t="str">
        <f t="shared" ca="1" si="17"/>
        <v/>
      </c>
      <c r="AC147" s="160" t="str">
        <f t="shared" ca="1" si="18"/>
        <v/>
      </c>
      <c r="AD147" s="159" t="str">
        <f t="shared" ca="1" si="19"/>
        <v/>
      </c>
      <c r="AE147" s="161"/>
      <c r="AF147" s="161"/>
      <c r="AG147" s="161"/>
      <c r="AH147" s="137"/>
      <c r="AI147" s="164" t="str">
        <f t="shared" si="14"/>
        <v/>
      </c>
      <c r="AJ147" s="164" t="str">
        <f>IF(AND(OpenPendingCases[[#This Row],[Sale Status	]]="Open Sale",OpenPendingCases[[#This Row],[Potential Same Month]]="High"),TEXT(OpenPendingCases[[#This Row],[Request Entry Date]], "[$-en-us]mmmm"),"")</f>
        <v/>
      </c>
      <c r="AK147" s="165" t="str">
        <f>IFERROR(VALUE(SUBSTITUTE(OpenPendingCases[[#This Row],[Price]]," AED","")),"")</f>
        <v/>
      </c>
      <c r="AL147" s="165" t="str">
        <f>IFERROR(VALUE(LEFT(OpenPendingCases[[#This Row],[Price]],FIND(" ",OpenPendingCases[[#This Row],[Price]])-1)),"")</f>
        <v/>
      </c>
      <c r="AM147" s="165" t="str">
        <f>IFERROR(VALUE(_xlfn.TEXTBEFORE(OpenPendingCases[[#This Row],[Price]]," AED")),"")</f>
        <v/>
      </c>
      <c r="AN147" s="165"/>
    </row>
    <row r="148" spans="3:40" ht="18" hidden="1" x14ac:dyDescent="0.35">
      <c r="C148" s="134"/>
      <c r="D148" s="137" t="str">
        <f>IF($U148="Open Sale", IF(MAX($D$4:D147)+1=0, "", MAX($D$4:D147)+1), "")</f>
        <v/>
      </c>
      <c r="E148" s="137" t="str">
        <f>IF($U148="Pending Allocation", IF(MAX($E$4:E147)+1=0, "", MAX($E$4:E147)+1), "")</f>
        <v/>
      </c>
      <c r="F148" s="137"/>
      <c r="G148" s="137"/>
      <c r="H148" s="150"/>
      <c r="I148" s="150"/>
      <c r="J148" s="68" t="str">
        <f>IF(OpenPendingCases[[#This Row],[Timepiece Reference ]]="", "", IF(_xlfn.XLOOKUP(OpenPendingCases[[#This Row],[Timepiece Reference ]], Table1[[Timepiece Reference ]], Table1[CRC STOCK], "Not Found")="YES", "CRC Stock", "Boutique Stock"))</f>
        <v/>
      </c>
      <c r="K148" s="137" t="str">
        <f>IF(OpenPendingCases[[#This Row],[Timepiece Reference ]]="", "", IF(_xlfn.XLOOKUP(OpenPendingCases[[#This Row],[Timepiece Reference ]], Table1[[Timepiece Reference ]], Table1[CRC STOCK], "Not Found")="YES", "CRC Stock", "Boutique Stock"))</f>
        <v/>
      </c>
      <c r="L148" s="140"/>
      <c r="M148" s="141"/>
      <c r="N148" s="137"/>
      <c r="O148" s="134"/>
      <c r="P148" s="94" t="str">
        <f>IFERROR(VLOOKUP(TRIM(O148), Collection!$B$2:$D$1001, 2, FALSE), "")</f>
        <v/>
      </c>
      <c r="Q148" s="190" t="str">
        <f>IFERROR(VLOOKUP(TRIM(O148), Collection!$B$2:$D$1001, 3, FALSE), "")</f>
        <v/>
      </c>
      <c r="R148" s="153" t="str">
        <f t="shared" si="16"/>
        <v/>
      </c>
      <c r="S148" s="151"/>
      <c r="T148" s="158"/>
      <c r="U148" s="137"/>
      <c r="V148" s="137"/>
      <c r="W148" s="156" t="str">
        <f t="shared" si="20"/>
        <v/>
      </c>
      <c r="X148" s="157"/>
      <c r="Y148" s="158"/>
      <c r="Z148" s="158"/>
      <c r="AA148" s="137" t="str">
        <f t="shared" ca="1" si="21"/>
        <v/>
      </c>
      <c r="AB148" s="137" t="str">
        <f t="shared" ca="1" si="17"/>
        <v/>
      </c>
      <c r="AC148" s="160" t="str">
        <f t="shared" ca="1" si="18"/>
        <v/>
      </c>
      <c r="AD148" s="159" t="str">
        <f t="shared" ca="1" si="19"/>
        <v/>
      </c>
      <c r="AE148" s="161"/>
      <c r="AF148" s="161"/>
      <c r="AG148" s="161"/>
      <c r="AH148" s="137"/>
      <c r="AI148" s="164" t="str">
        <f t="shared" si="14"/>
        <v/>
      </c>
      <c r="AJ148" s="164" t="str">
        <f>IF(AND(OpenPendingCases[[#This Row],[Sale Status	]]="Open Sale",OpenPendingCases[[#This Row],[Potential Same Month]]="High"),TEXT(OpenPendingCases[[#This Row],[Request Entry Date]], "[$-en-us]mmmm"),"")</f>
        <v/>
      </c>
      <c r="AK148" s="165" t="str">
        <f>IFERROR(VALUE(SUBSTITUTE(OpenPendingCases[[#This Row],[Price]]," AED","")),"")</f>
        <v/>
      </c>
      <c r="AL148" s="165" t="str">
        <f>IFERROR(VALUE(LEFT(OpenPendingCases[[#This Row],[Price]],FIND(" ",OpenPendingCases[[#This Row],[Price]])-1)),"")</f>
        <v/>
      </c>
      <c r="AM148" s="165" t="str">
        <f>IFERROR(VALUE(_xlfn.TEXTBEFORE(OpenPendingCases[[#This Row],[Price]]," AED")),"")</f>
        <v/>
      </c>
      <c r="AN148" s="165"/>
    </row>
    <row r="149" spans="3:40" ht="18" hidden="1" x14ac:dyDescent="0.35">
      <c r="C149" s="134"/>
      <c r="D149" s="137" t="str">
        <f>IF($U149="Open Sale", IF(MAX($D$4:D148)+1=0, "", MAX($D$4:D148)+1), "")</f>
        <v/>
      </c>
      <c r="E149" s="137" t="str">
        <f>IF($U149="Pending Allocation", IF(MAX($E$4:E148)+1=0, "", MAX($E$4:E148)+1), "")</f>
        <v/>
      </c>
      <c r="F149" s="137"/>
      <c r="G149" s="137"/>
      <c r="H149" s="150"/>
      <c r="I149" s="150"/>
      <c r="J149" s="68" t="str">
        <f>IF(OpenPendingCases[[#This Row],[Timepiece Reference ]]="", "", IF(_xlfn.XLOOKUP(OpenPendingCases[[#This Row],[Timepiece Reference ]], Table1[[Timepiece Reference ]], Table1[CRC STOCK], "Not Found")="YES", "CRC Stock", "Boutique Stock"))</f>
        <v/>
      </c>
      <c r="K149" s="137" t="str">
        <f>IF(OpenPendingCases[[#This Row],[Timepiece Reference ]]="", "", IF(_xlfn.XLOOKUP(OpenPendingCases[[#This Row],[Timepiece Reference ]], Table1[[Timepiece Reference ]], Table1[CRC STOCK], "Not Found")="YES", "CRC Stock", "Boutique Stock"))</f>
        <v/>
      </c>
      <c r="L149" s="140"/>
      <c r="M149" s="141"/>
      <c r="N149" s="137"/>
      <c r="O149" s="134"/>
      <c r="P149" s="94" t="str">
        <f>IFERROR(VLOOKUP(TRIM(O149), Collection!$B$2:$D$1001, 2, FALSE), "")</f>
        <v/>
      </c>
      <c r="Q149" s="190" t="str">
        <f>IFERROR(VLOOKUP(TRIM(O149), Collection!$B$2:$D$1001, 3, FALSE), "")</f>
        <v/>
      </c>
      <c r="R149" s="153" t="str">
        <f t="shared" si="16"/>
        <v/>
      </c>
      <c r="S149" s="151"/>
      <c r="T149" s="158"/>
      <c r="U149" s="137"/>
      <c r="V149" s="137"/>
      <c r="W149" s="156" t="str">
        <f t="shared" si="20"/>
        <v/>
      </c>
      <c r="X149" s="157"/>
      <c r="Y149" s="158"/>
      <c r="Z149" s="158"/>
      <c r="AA149" s="137" t="str">
        <f t="shared" ca="1" si="21"/>
        <v/>
      </c>
      <c r="AB149" s="137" t="str">
        <f t="shared" ca="1" si="17"/>
        <v/>
      </c>
      <c r="AC149" s="160" t="str">
        <f t="shared" ca="1" si="18"/>
        <v/>
      </c>
      <c r="AD149" s="159" t="str">
        <f t="shared" ca="1" si="19"/>
        <v/>
      </c>
      <c r="AE149" s="161"/>
      <c r="AF149" s="161"/>
      <c r="AG149" s="161"/>
      <c r="AH149" s="137"/>
      <c r="AI149" s="164" t="str">
        <f t="shared" si="14"/>
        <v/>
      </c>
      <c r="AJ149" s="164" t="str">
        <f>IF(AND(OpenPendingCases[[#This Row],[Sale Status	]]="Open Sale",OpenPendingCases[[#This Row],[Potential Same Month]]="High"),TEXT(OpenPendingCases[[#This Row],[Request Entry Date]], "[$-en-us]mmmm"),"")</f>
        <v/>
      </c>
      <c r="AK149" s="165" t="str">
        <f>IFERROR(VALUE(SUBSTITUTE(OpenPendingCases[[#This Row],[Price]]," AED","")),"")</f>
        <v/>
      </c>
      <c r="AL149" s="165" t="str">
        <f>IFERROR(VALUE(LEFT(OpenPendingCases[[#This Row],[Price]],FIND(" ",OpenPendingCases[[#This Row],[Price]])-1)),"")</f>
        <v/>
      </c>
      <c r="AM149" s="165" t="str">
        <f>IFERROR(VALUE(_xlfn.TEXTBEFORE(OpenPendingCases[[#This Row],[Price]]," AED")),"")</f>
        <v/>
      </c>
      <c r="AN149" s="165"/>
    </row>
    <row r="150" spans="3:40" ht="18" hidden="1" x14ac:dyDescent="0.35">
      <c r="C150" s="134"/>
      <c r="D150" s="137" t="str">
        <f>IF($U150="Open Sale", IF(MAX($D$4:D149)+1=0, "", MAX($D$4:D149)+1), "")</f>
        <v/>
      </c>
      <c r="E150" s="137" t="str">
        <f>IF($U150="Pending Allocation", IF(MAX($E$4:E149)+1=0, "", MAX($E$4:E149)+1), "")</f>
        <v/>
      </c>
      <c r="F150" s="137"/>
      <c r="G150" s="137"/>
      <c r="H150" s="150"/>
      <c r="I150" s="150"/>
      <c r="J150" s="68" t="str">
        <f>IF(OpenPendingCases[[#This Row],[Timepiece Reference ]]="", "", IF(_xlfn.XLOOKUP(OpenPendingCases[[#This Row],[Timepiece Reference ]], Table1[[Timepiece Reference ]], Table1[CRC STOCK], "Not Found")="YES", "CRC Stock", "Boutique Stock"))</f>
        <v/>
      </c>
      <c r="K150" s="137" t="str">
        <f>IF(OpenPendingCases[[#This Row],[Timepiece Reference ]]="", "", IF(_xlfn.XLOOKUP(OpenPendingCases[[#This Row],[Timepiece Reference ]], Table1[[Timepiece Reference ]], Table1[CRC STOCK], "Not Found")="YES", "CRC Stock", "Boutique Stock"))</f>
        <v/>
      </c>
      <c r="L150" s="140"/>
      <c r="M150" s="141"/>
      <c r="N150" s="137"/>
      <c r="O150" s="134"/>
      <c r="P150" s="94" t="str">
        <f>IFERROR(VLOOKUP(TRIM(O150), Collection!$B$2:$D$1001, 2, FALSE), "")</f>
        <v/>
      </c>
      <c r="Q150" s="190" t="str">
        <f>IFERROR(VLOOKUP(TRIM(O150), Collection!$B$2:$D$1001, 3, FALSE), "")</f>
        <v/>
      </c>
      <c r="R150" s="153" t="str">
        <f t="shared" si="16"/>
        <v/>
      </c>
      <c r="S150" s="151"/>
      <c r="T150" s="158"/>
      <c r="U150" s="137"/>
      <c r="V150" s="137"/>
      <c r="W150" s="156" t="str">
        <f t="shared" si="20"/>
        <v/>
      </c>
      <c r="X150" s="157"/>
      <c r="Y150" s="158"/>
      <c r="Z150" s="158"/>
      <c r="AA150" s="137" t="str">
        <f t="shared" ca="1" si="21"/>
        <v/>
      </c>
      <c r="AB150" s="137" t="str">
        <f t="shared" ca="1" si="17"/>
        <v/>
      </c>
      <c r="AC150" s="160" t="str">
        <f t="shared" ca="1" si="18"/>
        <v/>
      </c>
      <c r="AD150" s="159" t="str">
        <f t="shared" ca="1" si="19"/>
        <v/>
      </c>
      <c r="AE150" s="161"/>
      <c r="AF150" s="161"/>
      <c r="AG150" s="161"/>
      <c r="AH150" s="137"/>
      <c r="AI150" s="164" t="str">
        <f t="shared" ref="AI150:AI213" si="22">IF(I150="","",TEXT(I150, "mmmm yyyy"))</f>
        <v/>
      </c>
      <c r="AJ150" s="164" t="str">
        <f>IF(AND(OpenPendingCases[[#This Row],[Sale Status	]]="Open Sale",OpenPendingCases[[#This Row],[Potential Same Month]]="High"),TEXT(OpenPendingCases[[#This Row],[Request Entry Date]], "[$-en-us]mmmm"),"")</f>
        <v/>
      </c>
      <c r="AK150" s="165" t="str">
        <f>IFERROR(VALUE(SUBSTITUTE(OpenPendingCases[[#This Row],[Price]]," AED","")),"")</f>
        <v/>
      </c>
      <c r="AL150" s="165" t="str">
        <f>IFERROR(VALUE(LEFT(OpenPendingCases[[#This Row],[Price]],FIND(" ",OpenPendingCases[[#This Row],[Price]])-1)),"")</f>
        <v/>
      </c>
      <c r="AM150" s="165" t="str">
        <f>IFERROR(VALUE(_xlfn.TEXTBEFORE(OpenPendingCases[[#This Row],[Price]]," AED")),"")</f>
        <v/>
      </c>
      <c r="AN150" s="165"/>
    </row>
    <row r="151" spans="3:40" ht="18" hidden="1" x14ac:dyDescent="0.35">
      <c r="C151" s="134"/>
      <c r="D151" s="137" t="str">
        <f>IF($U151="Open Sale", IF(MAX($D$4:D150)+1=0, "", MAX($D$4:D150)+1), "")</f>
        <v/>
      </c>
      <c r="E151" s="137" t="str">
        <f>IF($U151="Pending Allocation", IF(MAX($E$4:E150)+1=0, "", MAX($E$4:E150)+1), "")</f>
        <v/>
      </c>
      <c r="F151" s="137"/>
      <c r="G151" s="137"/>
      <c r="H151" s="150"/>
      <c r="I151" s="150"/>
      <c r="J151" s="68" t="str">
        <f>IF(OpenPendingCases[[#This Row],[Timepiece Reference ]]="", "", IF(_xlfn.XLOOKUP(OpenPendingCases[[#This Row],[Timepiece Reference ]], Table1[[Timepiece Reference ]], Table1[CRC STOCK], "Not Found")="YES", "CRC Stock", "Boutique Stock"))</f>
        <v/>
      </c>
      <c r="K151" s="137" t="str">
        <f>IF(OpenPendingCases[[#This Row],[Timepiece Reference ]]="", "", IF(_xlfn.XLOOKUP(OpenPendingCases[[#This Row],[Timepiece Reference ]], Table1[[Timepiece Reference ]], Table1[CRC STOCK], "Not Found")="YES", "CRC Stock", "Boutique Stock"))</f>
        <v/>
      </c>
      <c r="L151" s="140"/>
      <c r="M151" s="141"/>
      <c r="N151" s="137"/>
      <c r="O151" s="134"/>
      <c r="P151" s="94" t="str">
        <f>IFERROR(VLOOKUP(TRIM(O151), Collection!$B$2:$D$1001, 2, FALSE), "")</f>
        <v/>
      </c>
      <c r="Q151" s="190" t="str">
        <f>IFERROR(VLOOKUP(TRIM(O151), Collection!$B$2:$D$1001, 3, FALSE), "")</f>
        <v/>
      </c>
      <c r="R151" s="153" t="str">
        <f t="shared" si="16"/>
        <v/>
      </c>
      <c r="S151" s="151"/>
      <c r="T151" s="158"/>
      <c r="U151" s="137"/>
      <c r="V151" s="137"/>
      <c r="W151" s="156" t="str">
        <f t="shared" si="20"/>
        <v/>
      </c>
      <c r="X151" s="157"/>
      <c r="Y151" s="158"/>
      <c r="Z151" s="158"/>
      <c r="AA151" s="137" t="str">
        <f t="shared" ca="1" si="21"/>
        <v/>
      </c>
      <c r="AB151" s="137" t="str">
        <f t="shared" ca="1" si="17"/>
        <v/>
      </c>
      <c r="AC151" s="160" t="str">
        <f t="shared" ca="1" si="18"/>
        <v/>
      </c>
      <c r="AD151" s="159" t="str">
        <f t="shared" ca="1" si="19"/>
        <v/>
      </c>
      <c r="AE151" s="161"/>
      <c r="AF151" s="161"/>
      <c r="AG151" s="161"/>
      <c r="AH151" s="137"/>
      <c r="AI151" s="164" t="str">
        <f t="shared" si="22"/>
        <v/>
      </c>
      <c r="AJ151" s="164" t="str">
        <f>IF(AND(OpenPendingCases[[#This Row],[Sale Status	]]="Open Sale",OpenPendingCases[[#This Row],[Potential Same Month]]="High"),TEXT(OpenPendingCases[[#This Row],[Request Entry Date]], "[$-en-us]mmmm"),"")</f>
        <v/>
      </c>
      <c r="AK151" s="165" t="str">
        <f>IFERROR(VALUE(SUBSTITUTE(OpenPendingCases[[#This Row],[Price]]," AED","")),"")</f>
        <v/>
      </c>
      <c r="AL151" s="165" t="str">
        <f>IFERROR(VALUE(LEFT(OpenPendingCases[[#This Row],[Price]],FIND(" ",OpenPendingCases[[#This Row],[Price]])-1)),"")</f>
        <v/>
      </c>
      <c r="AM151" s="165" t="str">
        <f>IFERROR(VALUE(_xlfn.TEXTBEFORE(OpenPendingCases[[#This Row],[Price]]," AED")),"")</f>
        <v/>
      </c>
      <c r="AN151" s="165"/>
    </row>
    <row r="152" spans="3:40" ht="18" hidden="1" x14ac:dyDescent="0.35">
      <c r="C152" s="134"/>
      <c r="D152" s="137" t="str">
        <f>IF($U152="Open Sale", IF(MAX($D$4:D151)+1=0, "", MAX($D$4:D151)+1), "")</f>
        <v/>
      </c>
      <c r="E152" s="137" t="str">
        <f>IF($U152="Pending Allocation", IF(MAX($E$4:E151)+1=0, "", MAX($E$4:E151)+1), "")</f>
        <v/>
      </c>
      <c r="F152" s="137"/>
      <c r="G152" s="137"/>
      <c r="H152" s="150"/>
      <c r="I152" s="150"/>
      <c r="J152" s="68" t="str">
        <f>IF(OpenPendingCases[[#This Row],[Timepiece Reference ]]="", "", IF(_xlfn.XLOOKUP(OpenPendingCases[[#This Row],[Timepiece Reference ]], Table1[[Timepiece Reference ]], Table1[CRC STOCK], "Not Found")="YES", "CRC Stock", "Boutique Stock"))</f>
        <v/>
      </c>
      <c r="K152" s="137" t="str">
        <f>IF(OpenPendingCases[[#This Row],[Timepiece Reference ]]="", "", IF(_xlfn.XLOOKUP(OpenPendingCases[[#This Row],[Timepiece Reference ]], Table1[[Timepiece Reference ]], Table1[CRC STOCK], "Not Found")="YES", "CRC Stock", "Boutique Stock"))</f>
        <v/>
      </c>
      <c r="L152" s="140"/>
      <c r="M152" s="141"/>
      <c r="N152" s="137"/>
      <c r="O152" s="134"/>
      <c r="P152" s="94" t="str">
        <f>IFERROR(VLOOKUP(TRIM(O152), Collection!$B$2:$D$1001, 2, FALSE), "")</f>
        <v/>
      </c>
      <c r="Q152" s="190" t="str">
        <f>IFERROR(VLOOKUP(TRIM(O152), Collection!$B$2:$D$1001, 3, FALSE), "")</f>
        <v/>
      </c>
      <c r="R152" s="153" t="str">
        <f t="shared" si="16"/>
        <v/>
      </c>
      <c r="S152" s="151"/>
      <c r="T152" s="158"/>
      <c r="U152" s="137"/>
      <c r="V152" s="137"/>
      <c r="W152" s="156" t="str">
        <f t="shared" si="20"/>
        <v/>
      </c>
      <c r="X152" s="157"/>
      <c r="Y152" s="158"/>
      <c r="Z152" s="158"/>
      <c r="AA152" s="137" t="str">
        <f t="shared" ca="1" si="21"/>
        <v/>
      </c>
      <c r="AB152" s="137" t="str">
        <f t="shared" ca="1" si="17"/>
        <v/>
      </c>
      <c r="AC152" s="160" t="str">
        <f t="shared" ca="1" si="18"/>
        <v/>
      </c>
      <c r="AD152" s="159" t="str">
        <f t="shared" ca="1" si="19"/>
        <v/>
      </c>
      <c r="AE152" s="161"/>
      <c r="AF152" s="161"/>
      <c r="AG152" s="161"/>
      <c r="AH152" s="137"/>
      <c r="AI152" s="164" t="str">
        <f t="shared" si="22"/>
        <v/>
      </c>
      <c r="AJ152" s="164" t="str">
        <f>IF(AND(OpenPendingCases[[#This Row],[Sale Status	]]="Open Sale",OpenPendingCases[[#This Row],[Potential Same Month]]="High"),TEXT(OpenPendingCases[[#This Row],[Request Entry Date]], "[$-en-us]mmmm"),"")</f>
        <v/>
      </c>
      <c r="AK152" s="165" t="str">
        <f>IFERROR(VALUE(SUBSTITUTE(OpenPendingCases[[#This Row],[Price]]," AED","")),"")</f>
        <v/>
      </c>
      <c r="AL152" s="165" t="str">
        <f>IFERROR(VALUE(LEFT(OpenPendingCases[[#This Row],[Price]],FIND(" ",OpenPendingCases[[#This Row],[Price]])-1)),"")</f>
        <v/>
      </c>
      <c r="AM152" s="165" t="str">
        <f>IFERROR(VALUE(_xlfn.TEXTBEFORE(OpenPendingCases[[#This Row],[Price]]," AED")),"")</f>
        <v/>
      </c>
      <c r="AN152" s="165"/>
    </row>
    <row r="153" spans="3:40" ht="18" hidden="1" x14ac:dyDescent="0.35">
      <c r="C153" s="134"/>
      <c r="D153" s="137" t="str">
        <f>IF($U153="Open Sale", IF(MAX($D$4:D152)+1=0, "", MAX($D$4:D152)+1), "")</f>
        <v/>
      </c>
      <c r="E153" s="137" t="str">
        <f>IF($U153="Pending Allocation", IF(MAX($E$4:E152)+1=0, "", MAX($E$4:E152)+1), "")</f>
        <v/>
      </c>
      <c r="F153" s="137"/>
      <c r="G153" s="137"/>
      <c r="H153" s="150"/>
      <c r="I153" s="150"/>
      <c r="J153" s="68" t="str">
        <f>IF(OpenPendingCases[[#This Row],[Timepiece Reference ]]="", "", IF(_xlfn.XLOOKUP(OpenPendingCases[[#This Row],[Timepiece Reference ]], Table1[[Timepiece Reference ]], Table1[CRC STOCK], "Not Found")="YES", "CRC Stock", "Boutique Stock"))</f>
        <v/>
      </c>
      <c r="K153" s="137" t="str">
        <f>IF(OpenPendingCases[[#This Row],[Timepiece Reference ]]="", "", IF(_xlfn.XLOOKUP(OpenPendingCases[[#This Row],[Timepiece Reference ]], Table1[[Timepiece Reference ]], Table1[CRC STOCK], "Not Found")="YES", "CRC Stock", "Boutique Stock"))</f>
        <v/>
      </c>
      <c r="L153" s="140"/>
      <c r="M153" s="141"/>
      <c r="N153" s="137"/>
      <c r="O153" s="134"/>
      <c r="P153" s="94" t="str">
        <f>IFERROR(VLOOKUP(TRIM(O153), Collection!$B$2:$D$1001, 2, FALSE), "")</f>
        <v/>
      </c>
      <c r="Q153" s="190" t="str">
        <f>IFERROR(VLOOKUP(TRIM(O153), Collection!$B$2:$D$1001, 3, FALSE), "")</f>
        <v/>
      </c>
      <c r="R153" s="153" t="str">
        <f t="shared" si="16"/>
        <v/>
      </c>
      <c r="S153" s="151"/>
      <c r="T153" s="158"/>
      <c r="U153" s="137"/>
      <c r="V153" s="137"/>
      <c r="W153" s="156" t="str">
        <f t="shared" si="20"/>
        <v/>
      </c>
      <c r="X153" s="157"/>
      <c r="Y153" s="158"/>
      <c r="Z153" s="158"/>
      <c r="AA153" s="137" t="str">
        <f t="shared" ca="1" si="21"/>
        <v/>
      </c>
      <c r="AB153" s="137" t="str">
        <f t="shared" ca="1" si="17"/>
        <v/>
      </c>
      <c r="AC153" s="160" t="str">
        <f t="shared" ca="1" si="18"/>
        <v/>
      </c>
      <c r="AD153" s="159" t="str">
        <f t="shared" ca="1" si="19"/>
        <v/>
      </c>
      <c r="AE153" s="161"/>
      <c r="AF153" s="161"/>
      <c r="AG153" s="161"/>
      <c r="AH153" s="137"/>
      <c r="AI153" s="164" t="str">
        <f t="shared" si="22"/>
        <v/>
      </c>
      <c r="AJ153" s="164" t="str">
        <f>IF(AND(OpenPendingCases[[#This Row],[Sale Status	]]="Open Sale",OpenPendingCases[[#This Row],[Potential Same Month]]="High"),TEXT(OpenPendingCases[[#This Row],[Request Entry Date]], "[$-en-us]mmmm"),"")</f>
        <v/>
      </c>
      <c r="AK153" s="165" t="str">
        <f>IFERROR(VALUE(SUBSTITUTE(OpenPendingCases[[#This Row],[Price]]," AED","")),"")</f>
        <v/>
      </c>
      <c r="AL153" s="165" t="str">
        <f>IFERROR(VALUE(LEFT(OpenPendingCases[[#This Row],[Price]],FIND(" ",OpenPendingCases[[#This Row],[Price]])-1)),"")</f>
        <v/>
      </c>
      <c r="AM153" s="165" t="str">
        <f>IFERROR(VALUE(_xlfn.TEXTBEFORE(OpenPendingCases[[#This Row],[Price]]," AED")),"")</f>
        <v/>
      </c>
      <c r="AN153" s="165"/>
    </row>
    <row r="154" spans="3:40" ht="18" hidden="1" x14ac:dyDescent="0.35">
      <c r="C154" s="134"/>
      <c r="D154" s="137" t="str">
        <f>IF($U154="Open Sale", IF(MAX($D$4:D153)+1=0, "", MAX($D$4:D153)+1), "")</f>
        <v/>
      </c>
      <c r="E154" s="137" t="str">
        <f>IF($U154="Pending Allocation", IF(MAX($E$4:E153)+1=0, "", MAX($E$4:E153)+1), "")</f>
        <v/>
      </c>
      <c r="F154" s="137"/>
      <c r="G154" s="137"/>
      <c r="H154" s="150"/>
      <c r="I154" s="150"/>
      <c r="J154" s="68" t="str">
        <f>IF(OpenPendingCases[[#This Row],[Timepiece Reference ]]="", "", IF(_xlfn.XLOOKUP(OpenPendingCases[[#This Row],[Timepiece Reference ]], Table1[[Timepiece Reference ]], Table1[CRC STOCK], "Not Found")="YES", "CRC Stock", "Boutique Stock"))</f>
        <v/>
      </c>
      <c r="K154" s="137" t="str">
        <f>IF(OpenPendingCases[[#This Row],[Timepiece Reference ]]="", "", IF(_xlfn.XLOOKUP(OpenPendingCases[[#This Row],[Timepiece Reference ]], Table1[[Timepiece Reference ]], Table1[CRC STOCK], "Not Found")="YES", "CRC Stock", "Boutique Stock"))</f>
        <v/>
      </c>
      <c r="L154" s="140"/>
      <c r="M154" s="141"/>
      <c r="N154" s="137"/>
      <c r="O154" s="134"/>
      <c r="P154" s="94" t="str">
        <f>IFERROR(VLOOKUP(TRIM(O154), Collection!$B$2:$D$1001, 2, FALSE), "")</f>
        <v/>
      </c>
      <c r="Q154" s="190" t="str">
        <f>IFERROR(VLOOKUP(TRIM(O154), Collection!$B$2:$D$1001, 3, FALSE), "")</f>
        <v/>
      </c>
      <c r="R154" s="153" t="str">
        <f t="shared" si="16"/>
        <v/>
      </c>
      <c r="S154" s="151"/>
      <c r="T154" s="158"/>
      <c r="U154" s="137"/>
      <c r="V154" s="137"/>
      <c r="W154" s="156" t="str">
        <f t="shared" si="20"/>
        <v/>
      </c>
      <c r="X154" s="157"/>
      <c r="Y154" s="158"/>
      <c r="Z154" s="158"/>
      <c r="AA154" s="137" t="str">
        <f t="shared" ca="1" si="21"/>
        <v/>
      </c>
      <c r="AB154" s="137" t="str">
        <f t="shared" ca="1" si="17"/>
        <v/>
      </c>
      <c r="AC154" s="160" t="str">
        <f t="shared" ca="1" si="18"/>
        <v/>
      </c>
      <c r="AD154" s="159" t="str">
        <f t="shared" ca="1" si="19"/>
        <v/>
      </c>
      <c r="AE154" s="161"/>
      <c r="AF154" s="161"/>
      <c r="AG154" s="161"/>
      <c r="AH154" s="137"/>
      <c r="AI154" s="164" t="str">
        <f t="shared" si="22"/>
        <v/>
      </c>
      <c r="AJ154" s="164" t="str">
        <f>IF(AND(OpenPendingCases[[#This Row],[Sale Status	]]="Open Sale",OpenPendingCases[[#This Row],[Potential Same Month]]="High"),TEXT(OpenPendingCases[[#This Row],[Request Entry Date]], "[$-en-us]mmmm"),"")</f>
        <v/>
      </c>
      <c r="AK154" s="165" t="str">
        <f>IFERROR(VALUE(SUBSTITUTE(OpenPendingCases[[#This Row],[Price]]," AED","")),"")</f>
        <v/>
      </c>
      <c r="AL154" s="165" t="str">
        <f>IFERROR(VALUE(LEFT(OpenPendingCases[[#This Row],[Price]],FIND(" ",OpenPendingCases[[#This Row],[Price]])-1)),"")</f>
        <v/>
      </c>
      <c r="AM154" s="165" t="str">
        <f>IFERROR(VALUE(_xlfn.TEXTBEFORE(OpenPendingCases[[#This Row],[Price]]," AED")),"")</f>
        <v/>
      </c>
      <c r="AN154" s="165"/>
    </row>
    <row r="155" spans="3:40" ht="18" hidden="1" x14ac:dyDescent="0.35">
      <c r="C155" s="134"/>
      <c r="D155" s="137" t="str">
        <f>IF($U155="Open Sale", IF(MAX($D$4:D154)+1=0, "", MAX($D$4:D154)+1), "")</f>
        <v/>
      </c>
      <c r="E155" s="137" t="str">
        <f>IF($U155="Pending Allocation", IF(MAX($E$4:E154)+1=0, "", MAX($E$4:E154)+1), "")</f>
        <v/>
      </c>
      <c r="F155" s="137"/>
      <c r="G155" s="137"/>
      <c r="H155" s="150"/>
      <c r="I155" s="150"/>
      <c r="J155" s="68" t="str">
        <f>IF(OpenPendingCases[[#This Row],[Timepiece Reference ]]="", "", IF(_xlfn.XLOOKUP(OpenPendingCases[[#This Row],[Timepiece Reference ]], Table1[[Timepiece Reference ]], Table1[CRC STOCK], "Not Found")="YES", "CRC Stock", "Boutique Stock"))</f>
        <v/>
      </c>
      <c r="K155" s="137" t="str">
        <f>IF(OpenPendingCases[[#This Row],[Timepiece Reference ]]="", "", IF(_xlfn.XLOOKUP(OpenPendingCases[[#This Row],[Timepiece Reference ]], Table1[[Timepiece Reference ]], Table1[CRC STOCK], "Not Found")="YES", "CRC Stock", "Boutique Stock"))</f>
        <v/>
      </c>
      <c r="L155" s="140"/>
      <c r="M155" s="141"/>
      <c r="N155" s="137"/>
      <c r="O155" s="134"/>
      <c r="P155" s="94" t="str">
        <f>IFERROR(VLOOKUP(TRIM(O155), Collection!$B$2:$D$1001, 2, FALSE), "")</f>
        <v/>
      </c>
      <c r="Q155" s="190" t="str">
        <f>IFERROR(VLOOKUP(TRIM(O155), Collection!$B$2:$D$1001, 3, FALSE), "")</f>
        <v/>
      </c>
      <c r="R155" s="153" t="str">
        <f t="shared" si="16"/>
        <v/>
      </c>
      <c r="S155" s="151"/>
      <c r="T155" s="158"/>
      <c r="U155" s="137"/>
      <c r="V155" s="137"/>
      <c r="W155" s="156" t="str">
        <f t="shared" si="20"/>
        <v/>
      </c>
      <c r="X155" s="157"/>
      <c r="Y155" s="158"/>
      <c r="Z155" s="158"/>
      <c r="AA155" s="137" t="str">
        <f t="shared" ca="1" si="21"/>
        <v/>
      </c>
      <c r="AB155" s="137" t="str">
        <f t="shared" ca="1" si="17"/>
        <v/>
      </c>
      <c r="AC155" s="160" t="str">
        <f t="shared" ca="1" si="18"/>
        <v/>
      </c>
      <c r="AD155" s="159" t="str">
        <f t="shared" ca="1" si="19"/>
        <v/>
      </c>
      <c r="AE155" s="161"/>
      <c r="AF155" s="161"/>
      <c r="AG155" s="161"/>
      <c r="AH155" s="137"/>
      <c r="AI155" s="164" t="str">
        <f t="shared" si="22"/>
        <v/>
      </c>
      <c r="AJ155" s="164" t="str">
        <f>IF(AND(OpenPendingCases[[#This Row],[Sale Status	]]="Open Sale",OpenPendingCases[[#This Row],[Potential Same Month]]="High"),TEXT(OpenPendingCases[[#This Row],[Request Entry Date]], "[$-en-us]mmmm"),"")</f>
        <v/>
      </c>
      <c r="AK155" s="165" t="str">
        <f>IFERROR(VALUE(SUBSTITUTE(OpenPendingCases[[#This Row],[Price]]," AED","")),"")</f>
        <v/>
      </c>
      <c r="AL155" s="165" t="str">
        <f>IFERROR(VALUE(LEFT(OpenPendingCases[[#This Row],[Price]],FIND(" ",OpenPendingCases[[#This Row],[Price]])-1)),"")</f>
        <v/>
      </c>
      <c r="AM155" s="165" t="str">
        <f>IFERROR(VALUE(_xlfn.TEXTBEFORE(OpenPendingCases[[#This Row],[Price]]," AED")),"")</f>
        <v/>
      </c>
      <c r="AN155" s="165"/>
    </row>
    <row r="156" spans="3:40" ht="18" hidden="1" x14ac:dyDescent="0.35">
      <c r="C156" s="134"/>
      <c r="D156" s="137" t="str">
        <f>IF($U156="Open Sale", IF(MAX($D$4:D155)+1=0, "", MAX($D$4:D155)+1), "")</f>
        <v/>
      </c>
      <c r="E156" s="137" t="str">
        <f>IF($U156="Pending Allocation", IF(MAX($E$4:E155)+1=0, "", MAX($E$4:E155)+1), "")</f>
        <v/>
      </c>
      <c r="F156" s="137"/>
      <c r="G156" s="137"/>
      <c r="H156" s="150"/>
      <c r="I156" s="150"/>
      <c r="J156" s="68" t="str">
        <f>IF(OpenPendingCases[[#This Row],[Timepiece Reference ]]="", "", IF(_xlfn.XLOOKUP(OpenPendingCases[[#This Row],[Timepiece Reference ]], Table1[[Timepiece Reference ]], Table1[CRC STOCK], "Not Found")="YES", "CRC Stock", "Boutique Stock"))</f>
        <v/>
      </c>
      <c r="K156" s="137" t="str">
        <f>IF(OpenPendingCases[[#This Row],[Timepiece Reference ]]="", "", IF(_xlfn.XLOOKUP(OpenPendingCases[[#This Row],[Timepiece Reference ]], Table1[[Timepiece Reference ]], Table1[CRC STOCK], "Not Found")="YES", "CRC Stock", "Boutique Stock"))</f>
        <v/>
      </c>
      <c r="L156" s="140"/>
      <c r="M156" s="141"/>
      <c r="N156" s="137"/>
      <c r="O156" s="134"/>
      <c r="P156" s="94" t="str">
        <f>IFERROR(VLOOKUP(TRIM(O156), Collection!$B$2:$D$1001, 2, FALSE), "")</f>
        <v/>
      </c>
      <c r="Q156" s="190" t="str">
        <f>IFERROR(VLOOKUP(TRIM(O156), Collection!$B$2:$D$1001, 3, FALSE), "")</f>
        <v/>
      </c>
      <c r="R156" s="153" t="str">
        <f t="shared" si="16"/>
        <v/>
      </c>
      <c r="S156" s="151"/>
      <c r="T156" s="158"/>
      <c r="U156" s="137"/>
      <c r="V156" s="137"/>
      <c r="W156" s="156" t="str">
        <f t="shared" si="20"/>
        <v/>
      </c>
      <c r="X156" s="157"/>
      <c r="Y156" s="158"/>
      <c r="Z156" s="158"/>
      <c r="AA156" s="137" t="str">
        <f t="shared" ca="1" si="21"/>
        <v/>
      </c>
      <c r="AB156" s="137" t="str">
        <f t="shared" ca="1" si="17"/>
        <v/>
      </c>
      <c r="AC156" s="160" t="str">
        <f t="shared" ca="1" si="18"/>
        <v/>
      </c>
      <c r="AD156" s="159" t="str">
        <f t="shared" ca="1" si="19"/>
        <v/>
      </c>
      <c r="AE156" s="161"/>
      <c r="AF156" s="161"/>
      <c r="AG156" s="161"/>
      <c r="AH156" s="137"/>
      <c r="AI156" s="164" t="str">
        <f t="shared" si="22"/>
        <v/>
      </c>
      <c r="AJ156" s="164" t="str">
        <f>IF(AND(OpenPendingCases[[#This Row],[Sale Status	]]="Open Sale",OpenPendingCases[[#This Row],[Potential Same Month]]="High"),TEXT(OpenPendingCases[[#This Row],[Request Entry Date]], "[$-en-us]mmmm"),"")</f>
        <v/>
      </c>
      <c r="AK156" s="165" t="str">
        <f>IFERROR(VALUE(SUBSTITUTE(OpenPendingCases[[#This Row],[Price]]," AED","")),"")</f>
        <v/>
      </c>
      <c r="AL156" s="165" t="str">
        <f>IFERROR(VALUE(LEFT(OpenPendingCases[[#This Row],[Price]],FIND(" ",OpenPendingCases[[#This Row],[Price]])-1)),"")</f>
        <v/>
      </c>
      <c r="AM156" s="165" t="str">
        <f>IFERROR(VALUE(_xlfn.TEXTBEFORE(OpenPendingCases[[#This Row],[Price]]," AED")),"")</f>
        <v/>
      </c>
      <c r="AN156" s="165"/>
    </row>
    <row r="157" spans="3:40" ht="18" hidden="1" x14ac:dyDescent="0.35">
      <c r="C157" s="134"/>
      <c r="D157" s="137" t="str">
        <f>IF($U157="Open Sale", IF(MAX($D$4:D156)+1=0, "", MAX($D$4:D156)+1), "")</f>
        <v/>
      </c>
      <c r="E157" s="137" t="str">
        <f>IF($U157="Pending Allocation", IF(MAX($E$4:E156)+1=0, "", MAX($E$4:E156)+1), "")</f>
        <v/>
      </c>
      <c r="F157" s="137"/>
      <c r="G157" s="137"/>
      <c r="H157" s="150"/>
      <c r="I157" s="150"/>
      <c r="J157" s="68" t="str">
        <f>IF(OpenPendingCases[[#This Row],[Timepiece Reference ]]="", "", IF(_xlfn.XLOOKUP(OpenPendingCases[[#This Row],[Timepiece Reference ]], Table1[[Timepiece Reference ]], Table1[CRC STOCK], "Not Found")="YES", "CRC Stock", "Boutique Stock"))</f>
        <v/>
      </c>
      <c r="K157" s="137" t="str">
        <f>IF(OpenPendingCases[[#This Row],[Timepiece Reference ]]="", "", IF(_xlfn.XLOOKUP(OpenPendingCases[[#This Row],[Timepiece Reference ]], Table1[[Timepiece Reference ]], Table1[CRC STOCK], "Not Found")="YES", "CRC Stock", "Boutique Stock"))</f>
        <v/>
      </c>
      <c r="L157" s="140"/>
      <c r="M157" s="141"/>
      <c r="N157" s="137"/>
      <c r="O157" s="134"/>
      <c r="P157" s="94" t="str">
        <f>IFERROR(VLOOKUP(TRIM(O157), Collection!$B$2:$D$1001, 2, FALSE), "")</f>
        <v/>
      </c>
      <c r="Q157" s="190" t="str">
        <f>IFERROR(VLOOKUP(TRIM(O157), Collection!$B$2:$D$1001, 3, FALSE), "")</f>
        <v/>
      </c>
      <c r="R157" s="153" t="str">
        <f t="shared" si="16"/>
        <v/>
      </c>
      <c r="S157" s="151"/>
      <c r="T157" s="158"/>
      <c r="U157" s="137"/>
      <c r="V157" s="137"/>
      <c r="W157" s="156" t="str">
        <f t="shared" si="20"/>
        <v/>
      </c>
      <c r="X157" s="157"/>
      <c r="Y157" s="158"/>
      <c r="Z157" s="158"/>
      <c r="AA157" s="137" t="str">
        <f t="shared" ca="1" si="21"/>
        <v/>
      </c>
      <c r="AB157" s="137" t="str">
        <f t="shared" ca="1" si="17"/>
        <v/>
      </c>
      <c r="AC157" s="160" t="str">
        <f t="shared" ca="1" si="18"/>
        <v/>
      </c>
      <c r="AD157" s="159" t="str">
        <f t="shared" ca="1" si="19"/>
        <v/>
      </c>
      <c r="AE157" s="161"/>
      <c r="AF157" s="161"/>
      <c r="AG157" s="161"/>
      <c r="AH157" s="137"/>
      <c r="AI157" s="164" t="str">
        <f t="shared" si="22"/>
        <v/>
      </c>
      <c r="AJ157" s="164" t="str">
        <f>IF(AND(OpenPendingCases[[#This Row],[Sale Status	]]="Open Sale",OpenPendingCases[[#This Row],[Potential Same Month]]="High"),TEXT(OpenPendingCases[[#This Row],[Request Entry Date]], "[$-en-us]mmmm"),"")</f>
        <v/>
      </c>
      <c r="AK157" s="165" t="str">
        <f>IFERROR(VALUE(SUBSTITUTE(OpenPendingCases[[#This Row],[Price]]," AED","")),"")</f>
        <v/>
      </c>
      <c r="AL157" s="165" t="str">
        <f>IFERROR(VALUE(LEFT(OpenPendingCases[[#This Row],[Price]],FIND(" ",OpenPendingCases[[#This Row],[Price]])-1)),"")</f>
        <v/>
      </c>
      <c r="AM157" s="165" t="str">
        <f>IFERROR(VALUE(_xlfn.TEXTBEFORE(OpenPendingCases[[#This Row],[Price]]," AED")),"")</f>
        <v/>
      </c>
      <c r="AN157" s="165"/>
    </row>
    <row r="158" spans="3:40" ht="18" hidden="1" x14ac:dyDescent="0.35">
      <c r="C158" s="134"/>
      <c r="D158" s="137" t="str">
        <f>IF($U158="Open Sale", IF(MAX($D$4:D157)+1=0, "", MAX($D$4:D157)+1), "")</f>
        <v/>
      </c>
      <c r="E158" s="137" t="str">
        <f>IF($U158="Pending Allocation", IF(MAX($E$4:E157)+1=0, "", MAX($E$4:E157)+1), "")</f>
        <v/>
      </c>
      <c r="F158" s="137"/>
      <c r="G158" s="137"/>
      <c r="H158" s="150"/>
      <c r="I158" s="150"/>
      <c r="J158" s="68" t="str">
        <f>IF(OpenPendingCases[[#This Row],[Timepiece Reference ]]="", "", IF(_xlfn.XLOOKUP(OpenPendingCases[[#This Row],[Timepiece Reference ]], Table1[[Timepiece Reference ]], Table1[CRC STOCK], "Not Found")="YES", "CRC Stock", "Boutique Stock"))</f>
        <v/>
      </c>
      <c r="K158" s="137" t="str">
        <f>IF(OpenPendingCases[[#This Row],[Timepiece Reference ]]="", "", IF(_xlfn.XLOOKUP(OpenPendingCases[[#This Row],[Timepiece Reference ]], Table1[[Timepiece Reference ]], Table1[CRC STOCK], "Not Found")="YES", "CRC Stock", "Boutique Stock"))</f>
        <v/>
      </c>
      <c r="L158" s="140"/>
      <c r="M158" s="141"/>
      <c r="N158" s="137"/>
      <c r="O158" s="134"/>
      <c r="P158" s="94" t="str">
        <f>IFERROR(VLOOKUP(TRIM(O158), Collection!$B$2:$D$1001, 2, FALSE), "")</f>
        <v/>
      </c>
      <c r="Q158" s="190" t="str">
        <f>IFERROR(VLOOKUP(TRIM(O158), Collection!$B$2:$D$1001, 3, FALSE), "")</f>
        <v/>
      </c>
      <c r="R158" s="153" t="str">
        <f t="shared" si="16"/>
        <v/>
      </c>
      <c r="S158" s="151"/>
      <c r="T158" s="158"/>
      <c r="U158" s="137"/>
      <c r="V158" s="137"/>
      <c r="W158" s="156" t="str">
        <f t="shared" si="20"/>
        <v/>
      </c>
      <c r="X158" s="157"/>
      <c r="Y158" s="158"/>
      <c r="Z158" s="158"/>
      <c r="AA158" s="137" t="str">
        <f t="shared" ca="1" si="21"/>
        <v/>
      </c>
      <c r="AB158" s="137" t="str">
        <f t="shared" ca="1" si="17"/>
        <v/>
      </c>
      <c r="AC158" s="160" t="str">
        <f t="shared" ca="1" si="18"/>
        <v/>
      </c>
      <c r="AD158" s="159" t="str">
        <f t="shared" ca="1" si="19"/>
        <v/>
      </c>
      <c r="AE158" s="161"/>
      <c r="AF158" s="161"/>
      <c r="AG158" s="161"/>
      <c r="AH158" s="137"/>
      <c r="AI158" s="164" t="str">
        <f t="shared" si="22"/>
        <v/>
      </c>
      <c r="AJ158" s="164" t="str">
        <f>IF(AND(OpenPendingCases[[#This Row],[Sale Status	]]="Open Sale",OpenPendingCases[[#This Row],[Potential Same Month]]="High"),TEXT(OpenPendingCases[[#This Row],[Request Entry Date]], "[$-en-us]mmmm"),"")</f>
        <v/>
      </c>
      <c r="AK158" s="165" t="str">
        <f>IFERROR(VALUE(SUBSTITUTE(OpenPendingCases[[#This Row],[Price]]," AED","")),"")</f>
        <v/>
      </c>
      <c r="AL158" s="165" t="str">
        <f>IFERROR(VALUE(LEFT(OpenPendingCases[[#This Row],[Price]],FIND(" ",OpenPendingCases[[#This Row],[Price]])-1)),"")</f>
        <v/>
      </c>
      <c r="AM158" s="165" t="str">
        <f>IFERROR(VALUE(_xlfn.TEXTBEFORE(OpenPendingCases[[#This Row],[Price]]," AED")),"")</f>
        <v/>
      </c>
      <c r="AN158" s="165"/>
    </row>
    <row r="159" spans="3:40" ht="18" hidden="1" x14ac:dyDescent="0.35">
      <c r="C159" s="134"/>
      <c r="D159" s="137" t="str">
        <f>IF($U159="Open Sale", IF(MAX($D$4:D158)+1=0, "", MAX($D$4:D158)+1), "")</f>
        <v/>
      </c>
      <c r="E159" s="137" t="str">
        <f>IF($U159="Pending Allocation", IF(MAX($E$4:E158)+1=0, "", MAX($E$4:E158)+1), "")</f>
        <v/>
      </c>
      <c r="F159" s="137"/>
      <c r="G159" s="137"/>
      <c r="H159" s="150"/>
      <c r="I159" s="150"/>
      <c r="J159" s="68" t="str">
        <f>IF(OpenPendingCases[[#This Row],[Timepiece Reference ]]="", "", IF(_xlfn.XLOOKUP(OpenPendingCases[[#This Row],[Timepiece Reference ]], Table1[[Timepiece Reference ]], Table1[CRC STOCK], "Not Found")="YES", "CRC Stock", "Boutique Stock"))</f>
        <v/>
      </c>
      <c r="K159" s="137" t="str">
        <f>IF(OpenPendingCases[[#This Row],[Timepiece Reference ]]="", "", IF(_xlfn.XLOOKUP(OpenPendingCases[[#This Row],[Timepiece Reference ]], Table1[[Timepiece Reference ]], Table1[CRC STOCK], "Not Found")="YES", "CRC Stock", "Boutique Stock"))</f>
        <v/>
      </c>
      <c r="L159" s="140"/>
      <c r="M159" s="141"/>
      <c r="N159" s="137"/>
      <c r="O159" s="134"/>
      <c r="P159" s="94" t="str">
        <f>IFERROR(VLOOKUP(TRIM(O159), Collection!$B$2:$D$1001, 2, FALSE), "")</f>
        <v/>
      </c>
      <c r="Q159" s="190" t="str">
        <f>IFERROR(VLOOKUP(TRIM(O159), Collection!$B$2:$D$1001, 3, FALSE), "")</f>
        <v/>
      </c>
      <c r="R159" s="153" t="str">
        <f t="shared" si="16"/>
        <v/>
      </c>
      <c r="S159" s="151"/>
      <c r="T159" s="158"/>
      <c r="U159" s="137"/>
      <c r="V159" s="137"/>
      <c r="W159" s="156" t="str">
        <f t="shared" si="20"/>
        <v/>
      </c>
      <c r="X159" s="157"/>
      <c r="Y159" s="158"/>
      <c r="Z159" s="158"/>
      <c r="AA159" s="137" t="str">
        <f t="shared" ca="1" si="21"/>
        <v/>
      </c>
      <c r="AB159" s="137" t="str">
        <f t="shared" ca="1" si="17"/>
        <v/>
      </c>
      <c r="AC159" s="160" t="str">
        <f t="shared" ca="1" si="18"/>
        <v/>
      </c>
      <c r="AD159" s="159" t="str">
        <f t="shared" ca="1" si="19"/>
        <v/>
      </c>
      <c r="AE159" s="161"/>
      <c r="AF159" s="161"/>
      <c r="AG159" s="161"/>
      <c r="AH159" s="137"/>
      <c r="AI159" s="164" t="str">
        <f t="shared" si="22"/>
        <v/>
      </c>
      <c r="AJ159" s="164" t="str">
        <f>IF(AND(OpenPendingCases[[#This Row],[Sale Status	]]="Open Sale",OpenPendingCases[[#This Row],[Potential Same Month]]="High"),TEXT(OpenPendingCases[[#This Row],[Request Entry Date]], "[$-en-us]mmmm"),"")</f>
        <v/>
      </c>
      <c r="AK159" s="165" t="str">
        <f>IFERROR(VALUE(SUBSTITUTE(OpenPendingCases[[#This Row],[Price]]," AED","")),"")</f>
        <v/>
      </c>
      <c r="AL159" s="165" t="str">
        <f>IFERROR(VALUE(LEFT(OpenPendingCases[[#This Row],[Price]],FIND(" ",OpenPendingCases[[#This Row],[Price]])-1)),"")</f>
        <v/>
      </c>
      <c r="AM159" s="165" t="str">
        <f>IFERROR(VALUE(_xlfn.TEXTBEFORE(OpenPendingCases[[#This Row],[Price]]," AED")),"")</f>
        <v/>
      </c>
      <c r="AN159" s="165"/>
    </row>
    <row r="160" spans="3:40" ht="18" hidden="1" x14ac:dyDescent="0.35">
      <c r="C160" s="134"/>
      <c r="D160" s="137" t="str">
        <f>IF($U160="Open Sale", IF(MAX($D$4:D159)+1=0, "", MAX($D$4:D159)+1), "")</f>
        <v/>
      </c>
      <c r="E160" s="137" t="str">
        <f>IF($U160="Pending Allocation", IF(MAX($E$4:E159)+1=0, "", MAX($E$4:E159)+1), "")</f>
        <v/>
      </c>
      <c r="F160" s="137"/>
      <c r="G160" s="137"/>
      <c r="H160" s="150"/>
      <c r="I160" s="150"/>
      <c r="J160" s="68" t="str">
        <f>IF(OpenPendingCases[[#This Row],[Timepiece Reference ]]="", "", IF(_xlfn.XLOOKUP(OpenPendingCases[[#This Row],[Timepiece Reference ]], Table1[[Timepiece Reference ]], Table1[CRC STOCK], "Not Found")="YES", "CRC Stock", "Boutique Stock"))</f>
        <v/>
      </c>
      <c r="K160" s="137" t="str">
        <f>IF(OpenPendingCases[[#This Row],[Timepiece Reference ]]="", "", IF(_xlfn.XLOOKUP(OpenPendingCases[[#This Row],[Timepiece Reference ]], Table1[[Timepiece Reference ]], Table1[CRC STOCK], "Not Found")="YES", "CRC Stock", "Boutique Stock"))</f>
        <v/>
      </c>
      <c r="L160" s="140"/>
      <c r="M160" s="141"/>
      <c r="N160" s="137"/>
      <c r="O160" s="134"/>
      <c r="P160" s="94" t="str">
        <f>IFERROR(VLOOKUP(TRIM(O160), Collection!$B$2:$D$1001, 2, FALSE), "")</f>
        <v/>
      </c>
      <c r="Q160" s="190" t="str">
        <f>IFERROR(VLOOKUP(TRIM(O160), Collection!$B$2:$D$1001, 3, FALSE), "")</f>
        <v/>
      </c>
      <c r="R160" s="153" t="str">
        <f t="shared" si="16"/>
        <v/>
      </c>
      <c r="S160" s="151"/>
      <c r="T160" s="158"/>
      <c r="U160" s="137"/>
      <c r="V160" s="137"/>
      <c r="W160" s="156" t="str">
        <f t="shared" si="20"/>
        <v/>
      </c>
      <c r="X160" s="157"/>
      <c r="Y160" s="158"/>
      <c r="Z160" s="158"/>
      <c r="AA160" s="137" t="str">
        <f t="shared" ca="1" si="21"/>
        <v/>
      </c>
      <c r="AB160" s="137" t="str">
        <f t="shared" ca="1" si="17"/>
        <v/>
      </c>
      <c r="AC160" s="160" t="str">
        <f t="shared" ca="1" si="18"/>
        <v/>
      </c>
      <c r="AD160" s="159" t="str">
        <f t="shared" ca="1" si="19"/>
        <v/>
      </c>
      <c r="AE160" s="161"/>
      <c r="AF160" s="161"/>
      <c r="AG160" s="161"/>
      <c r="AH160" s="137"/>
      <c r="AI160" s="164" t="str">
        <f t="shared" si="22"/>
        <v/>
      </c>
      <c r="AJ160" s="164" t="str">
        <f>IF(AND(OpenPendingCases[[#This Row],[Sale Status	]]="Open Sale",OpenPendingCases[[#This Row],[Potential Same Month]]="High"),TEXT(OpenPendingCases[[#This Row],[Request Entry Date]], "[$-en-us]mmmm"),"")</f>
        <v/>
      </c>
      <c r="AK160" s="165" t="str">
        <f>IFERROR(VALUE(SUBSTITUTE(OpenPendingCases[[#This Row],[Price]]," AED","")),"")</f>
        <v/>
      </c>
      <c r="AL160" s="165" t="str">
        <f>IFERROR(VALUE(LEFT(OpenPendingCases[[#This Row],[Price]],FIND(" ",OpenPendingCases[[#This Row],[Price]])-1)),"")</f>
        <v/>
      </c>
      <c r="AM160" s="165" t="str">
        <f>IFERROR(VALUE(_xlfn.TEXTBEFORE(OpenPendingCases[[#This Row],[Price]]," AED")),"")</f>
        <v/>
      </c>
      <c r="AN160" s="165"/>
    </row>
    <row r="161" spans="3:40" ht="18" hidden="1" x14ac:dyDescent="0.35">
      <c r="C161" s="134"/>
      <c r="D161" s="137" t="str">
        <f>IF($U161="Open Sale", IF(MAX($D$4:D160)+1=0, "", MAX($D$4:D160)+1), "")</f>
        <v/>
      </c>
      <c r="E161" s="137" t="str">
        <f>IF($U161="Pending Allocation", IF(MAX($E$4:E160)+1=0, "", MAX($E$4:E160)+1), "")</f>
        <v/>
      </c>
      <c r="F161" s="137"/>
      <c r="G161" s="137"/>
      <c r="H161" s="150"/>
      <c r="I161" s="150"/>
      <c r="J161" s="68" t="str">
        <f>IF(OpenPendingCases[[#This Row],[Timepiece Reference ]]="", "", IF(_xlfn.XLOOKUP(OpenPendingCases[[#This Row],[Timepiece Reference ]], Table1[[Timepiece Reference ]], Table1[CRC STOCK], "Not Found")="YES", "CRC Stock", "Boutique Stock"))</f>
        <v/>
      </c>
      <c r="K161" s="137" t="str">
        <f>IF(OpenPendingCases[[#This Row],[Timepiece Reference ]]="", "", IF(_xlfn.XLOOKUP(OpenPendingCases[[#This Row],[Timepiece Reference ]], Table1[[Timepiece Reference ]], Table1[CRC STOCK], "Not Found")="YES", "CRC Stock", "Boutique Stock"))</f>
        <v/>
      </c>
      <c r="L161" s="140"/>
      <c r="M161" s="141"/>
      <c r="N161" s="137"/>
      <c r="O161" s="134"/>
      <c r="P161" s="94" t="str">
        <f>IFERROR(VLOOKUP(TRIM(O161), Collection!$B$2:$D$1001, 2, FALSE), "")</f>
        <v/>
      </c>
      <c r="Q161" s="190" t="str">
        <f>IFERROR(VLOOKUP(TRIM(O161), Collection!$B$2:$D$1001, 3, FALSE), "")</f>
        <v/>
      </c>
      <c r="R161" s="153" t="str">
        <f t="shared" si="16"/>
        <v/>
      </c>
      <c r="S161" s="151"/>
      <c r="T161" s="158"/>
      <c r="U161" s="137"/>
      <c r="V161" s="137"/>
      <c r="W161" s="156" t="str">
        <f t="shared" si="20"/>
        <v/>
      </c>
      <c r="X161" s="157"/>
      <c r="Y161" s="158"/>
      <c r="Z161" s="158"/>
      <c r="AA161" s="137" t="str">
        <f t="shared" ca="1" si="21"/>
        <v/>
      </c>
      <c r="AB161" s="137" t="str">
        <f t="shared" ca="1" si="17"/>
        <v/>
      </c>
      <c r="AC161" s="160" t="str">
        <f t="shared" ca="1" si="18"/>
        <v/>
      </c>
      <c r="AD161" s="159" t="str">
        <f t="shared" ca="1" si="19"/>
        <v/>
      </c>
      <c r="AE161" s="161"/>
      <c r="AF161" s="161"/>
      <c r="AG161" s="161"/>
      <c r="AH161" s="137"/>
      <c r="AI161" s="164" t="str">
        <f t="shared" si="22"/>
        <v/>
      </c>
      <c r="AJ161" s="164" t="str">
        <f>IF(AND(OpenPendingCases[[#This Row],[Sale Status	]]="Open Sale",OpenPendingCases[[#This Row],[Potential Same Month]]="High"),TEXT(OpenPendingCases[[#This Row],[Request Entry Date]], "[$-en-us]mmmm"),"")</f>
        <v/>
      </c>
      <c r="AK161" s="165" t="str">
        <f>IFERROR(VALUE(SUBSTITUTE(OpenPendingCases[[#This Row],[Price]]," AED","")),"")</f>
        <v/>
      </c>
      <c r="AL161" s="165" t="str">
        <f>IFERROR(VALUE(LEFT(OpenPendingCases[[#This Row],[Price]],FIND(" ",OpenPendingCases[[#This Row],[Price]])-1)),"")</f>
        <v/>
      </c>
      <c r="AM161" s="165" t="str">
        <f>IFERROR(VALUE(_xlfn.TEXTBEFORE(OpenPendingCases[[#This Row],[Price]]," AED")),"")</f>
        <v/>
      </c>
      <c r="AN161" s="165"/>
    </row>
    <row r="162" spans="3:40" ht="18" hidden="1" x14ac:dyDescent="0.35">
      <c r="C162" s="134"/>
      <c r="D162" s="137" t="str">
        <f>IF($U162="Open Sale", IF(MAX($D$4:D161)+1=0, "", MAX($D$4:D161)+1), "")</f>
        <v/>
      </c>
      <c r="E162" s="137" t="str">
        <f>IF($U162="Pending Allocation", IF(MAX($E$4:E161)+1=0, "", MAX($E$4:E161)+1), "")</f>
        <v/>
      </c>
      <c r="F162" s="137"/>
      <c r="G162" s="137"/>
      <c r="H162" s="150"/>
      <c r="I162" s="150"/>
      <c r="J162" s="68" t="str">
        <f>IF(OpenPendingCases[[#This Row],[Timepiece Reference ]]="", "", IF(_xlfn.XLOOKUP(OpenPendingCases[[#This Row],[Timepiece Reference ]], Table1[[Timepiece Reference ]], Table1[CRC STOCK], "Not Found")="YES", "CRC Stock", "Boutique Stock"))</f>
        <v/>
      </c>
      <c r="K162" s="137" t="str">
        <f>IF(OpenPendingCases[[#This Row],[Timepiece Reference ]]="", "", IF(_xlfn.XLOOKUP(OpenPendingCases[[#This Row],[Timepiece Reference ]], Table1[[Timepiece Reference ]], Table1[CRC STOCK], "Not Found")="YES", "CRC Stock", "Boutique Stock"))</f>
        <v/>
      </c>
      <c r="L162" s="140"/>
      <c r="M162" s="141"/>
      <c r="N162" s="137"/>
      <c r="O162" s="134"/>
      <c r="P162" s="94" t="str">
        <f>IFERROR(VLOOKUP(TRIM(O162), Collection!$B$2:$D$1001, 2, FALSE), "")</f>
        <v/>
      </c>
      <c r="Q162" s="190" t="str">
        <f>IFERROR(VLOOKUP(TRIM(O162), Collection!$B$2:$D$1001, 3, FALSE), "")</f>
        <v/>
      </c>
      <c r="R162" s="153" t="str">
        <f t="shared" si="16"/>
        <v/>
      </c>
      <c r="S162" s="151"/>
      <c r="T162" s="158"/>
      <c r="U162" s="137"/>
      <c r="V162" s="137"/>
      <c r="W162" s="156" t="str">
        <f t="shared" si="20"/>
        <v/>
      </c>
      <c r="X162" s="157"/>
      <c r="Y162" s="158"/>
      <c r="Z162" s="158"/>
      <c r="AA162" s="137" t="str">
        <f t="shared" ca="1" si="21"/>
        <v/>
      </c>
      <c r="AB162" s="137" t="str">
        <f t="shared" ca="1" si="17"/>
        <v/>
      </c>
      <c r="AC162" s="160" t="str">
        <f t="shared" ca="1" si="18"/>
        <v/>
      </c>
      <c r="AD162" s="159" t="str">
        <f t="shared" ca="1" si="19"/>
        <v/>
      </c>
      <c r="AE162" s="161"/>
      <c r="AF162" s="161"/>
      <c r="AG162" s="161"/>
      <c r="AH162" s="137"/>
      <c r="AI162" s="164" t="str">
        <f t="shared" si="22"/>
        <v/>
      </c>
      <c r="AJ162" s="164" t="str">
        <f>IF(AND(OpenPendingCases[[#This Row],[Sale Status	]]="Open Sale",OpenPendingCases[[#This Row],[Potential Same Month]]="High"),TEXT(OpenPendingCases[[#This Row],[Request Entry Date]], "[$-en-us]mmmm"),"")</f>
        <v/>
      </c>
      <c r="AK162" s="165" t="str">
        <f>IFERROR(VALUE(SUBSTITUTE(OpenPendingCases[[#This Row],[Price]]," AED","")),"")</f>
        <v/>
      </c>
      <c r="AL162" s="165" t="str">
        <f>IFERROR(VALUE(LEFT(OpenPendingCases[[#This Row],[Price]],FIND(" ",OpenPendingCases[[#This Row],[Price]])-1)),"")</f>
        <v/>
      </c>
      <c r="AM162" s="165" t="str">
        <f>IFERROR(VALUE(_xlfn.TEXTBEFORE(OpenPendingCases[[#This Row],[Price]]," AED")),"")</f>
        <v/>
      </c>
      <c r="AN162" s="165"/>
    </row>
    <row r="163" spans="3:40" ht="18" hidden="1" x14ac:dyDescent="0.35">
      <c r="C163" s="134"/>
      <c r="D163" s="137" t="str">
        <f>IF($U163="Open Sale", IF(MAX($D$4:D162)+1=0, "", MAX($D$4:D162)+1), "")</f>
        <v/>
      </c>
      <c r="E163" s="137" t="str">
        <f>IF($U163="Pending Allocation", IF(MAX($E$4:E162)+1=0, "", MAX($E$4:E162)+1), "")</f>
        <v/>
      </c>
      <c r="F163" s="137"/>
      <c r="G163" s="137"/>
      <c r="H163" s="150"/>
      <c r="I163" s="150"/>
      <c r="J163" s="68" t="str">
        <f>IF(OpenPendingCases[[#This Row],[Timepiece Reference ]]="", "", IF(_xlfn.XLOOKUP(OpenPendingCases[[#This Row],[Timepiece Reference ]], Table1[[Timepiece Reference ]], Table1[CRC STOCK], "Not Found")="YES", "CRC Stock", "Boutique Stock"))</f>
        <v/>
      </c>
      <c r="K163" s="137" t="str">
        <f>IF(OpenPendingCases[[#This Row],[Timepiece Reference ]]="", "", IF(_xlfn.XLOOKUP(OpenPendingCases[[#This Row],[Timepiece Reference ]], Table1[[Timepiece Reference ]], Table1[CRC STOCK], "Not Found")="YES", "CRC Stock", "Boutique Stock"))</f>
        <v/>
      </c>
      <c r="L163" s="140"/>
      <c r="M163" s="141"/>
      <c r="N163" s="137"/>
      <c r="O163" s="134"/>
      <c r="P163" s="94" t="str">
        <f>IFERROR(VLOOKUP(TRIM(O163), Collection!$B$2:$D$1001, 2, FALSE), "")</f>
        <v/>
      </c>
      <c r="Q163" s="190" t="str">
        <f>IFERROR(VLOOKUP(TRIM(O163), Collection!$B$2:$D$1001, 3, FALSE), "")</f>
        <v/>
      </c>
      <c r="R163" s="153" t="str">
        <f t="shared" si="16"/>
        <v/>
      </c>
      <c r="S163" s="151"/>
      <c r="T163" s="158"/>
      <c r="U163" s="137"/>
      <c r="V163" s="137"/>
      <c r="W163" s="156" t="str">
        <f t="shared" si="20"/>
        <v/>
      </c>
      <c r="X163" s="157"/>
      <c r="Y163" s="158"/>
      <c r="Z163" s="158"/>
      <c r="AA163" s="137" t="str">
        <f t="shared" ca="1" si="21"/>
        <v/>
      </c>
      <c r="AB163" s="137" t="str">
        <f t="shared" ca="1" si="17"/>
        <v/>
      </c>
      <c r="AC163" s="160" t="str">
        <f t="shared" ca="1" si="18"/>
        <v/>
      </c>
      <c r="AD163" s="159" t="str">
        <f t="shared" ca="1" si="19"/>
        <v/>
      </c>
      <c r="AE163" s="161"/>
      <c r="AF163" s="161"/>
      <c r="AG163" s="161"/>
      <c r="AH163" s="137"/>
      <c r="AI163" s="164" t="str">
        <f t="shared" si="22"/>
        <v/>
      </c>
      <c r="AJ163" s="164" t="str">
        <f>IF(AND(OpenPendingCases[[#This Row],[Sale Status	]]="Open Sale",OpenPendingCases[[#This Row],[Potential Same Month]]="High"),TEXT(OpenPendingCases[[#This Row],[Request Entry Date]], "[$-en-us]mmmm"),"")</f>
        <v/>
      </c>
      <c r="AK163" s="165" t="str">
        <f>IFERROR(VALUE(SUBSTITUTE(OpenPendingCases[[#This Row],[Price]]," AED","")),"")</f>
        <v/>
      </c>
      <c r="AL163" s="165" t="str">
        <f>IFERROR(VALUE(LEFT(OpenPendingCases[[#This Row],[Price]],FIND(" ",OpenPendingCases[[#This Row],[Price]])-1)),"")</f>
        <v/>
      </c>
      <c r="AM163" s="165" t="str">
        <f>IFERROR(VALUE(_xlfn.TEXTBEFORE(OpenPendingCases[[#This Row],[Price]]," AED")),"")</f>
        <v/>
      </c>
      <c r="AN163" s="165"/>
    </row>
    <row r="164" spans="3:40" ht="18" hidden="1" x14ac:dyDescent="0.35">
      <c r="C164" s="134"/>
      <c r="D164" s="137" t="str">
        <f>IF($U164="Open Sale", IF(MAX($D$4:D163)+1=0, "", MAX($D$4:D163)+1), "")</f>
        <v/>
      </c>
      <c r="E164" s="137" t="str">
        <f>IF($U164="Pending Allocation", IF(MAX($E$4:E163)+1=0, "", MAX($E$4:E163)+1), "")</f>
        <v/>
      </c>
      <c r="F164" s="137"/>
      <c r="G164" s="137"/>
      <c r="H164" s="150"/>
      <c r="I164" s="150"/>
      <c r="J164" s="68" t="str">
        <f>IF(OpenPendingCases[[#This Row],[Timepiece Reference ]]="", "", IF(_xlfn.XLOOKUP(OpenPendingCases[[#This Row],[Timepiece Reference ]], Table1[[Timepiece Reference ]], Table1[CRC STOCK], "Not Found")="YES", "CRC Stock", "Boutique Stock"))</f>
        <v/>
      </c>
      <c r="K164" s="137" t="str">
        <f>IF(OpenPendingCases[[#This Row],[Timepiece Reference ]]="", "", IF(_xlfn.XLOOKUP(OpenPendingCases[[#This Row],[Timepiece Reference ]], Table1[[Timepiece Reference ]], Table1[CRC STOCK], "Not Found")="YES", "CRC Stock", "Boutique Stock"))</f>
        <v/>
      </c>
      <c r="L164" s="140"/>
      <c r="M164" s="144"/>
      <c r="N164" s="137"/>
      <c r="O164" s="134"/>
      <c r="P164" s="94" t="str">
        <f>IFERROR(VLOOKUP(TRIM(O164), Collection!$B$2:$D$1001, 2, FALSE), "")</f>
        <v/>
      </c>
      <c r="Q164" s="190" t="str">
        <f>IFERROR(VLOOKUP(TRIM(O164), Collection!$B$2:$D$1001, 3, FALSE), "")</f>
        <v/>
      </c>
      <c r="R164" s="153" t="str">
        <f t="shared" si="16"/>
        <v/>
      </c>
      <c r="S164" s="151"/>
      <c r="T164" s="158"/>
      <c r="U164" s="137"/>
      <c r="V164" s="137"/>
      <c r="W164" s="156" t="str">
        <f t="shared" si="20"/>
        <v/>
      </c>
      <c r="X164" s="157"/>
      <c r="Y164" s="158"/>
      <c r="Z164" s="158"/>
      <c r="AA164" s="137" t="str">
        <f t="shared" ca="1" si="21"/>
        <v/>
      </c>
      <c r="AB164" s="137" t="str">
        <f t="shared" ca="1" si="17"/>
        <v/>
      </c>
      <c r="AC164" s="160" t="str">
        <f t="shared" ca="1" si="18"/>
        <v/>
      </c>
      <c r="AD164" s="159" t="str">
        <f t="shared" ca="1" si="19"/>
        <v/>
      </c>
      <c r="AE164" s="161"/>
      <c r="AF164" s="161"/>
      <c r="AG164" s="161"/>
      <c r="AH164" s="137"/>
      <c r="AI164" s="164" t="str">
        <f t="shared" si="22"/>
        <v/>
      </c>
      <c r="AJ164" s="164" t="str">
        <f>IF(AND(OpenPendingCases[[#This Row],[Sale Status	]]="Open Sale",OpenPendingCases[[#This Row],[Potential Same Month]]="High"),TEXT(OpenPendingCases[[#This Row],[Request Entry Date]], "[$-en-us]mmmm"),"")</f>
        <v/>
      </c>
      <c r="AK164" s="165" t="str">
        <f>IFERROR(VALUE(SUBSTITUTE(OpenPendingCases[[#This Row],[Price]]," AED","")),"")</f>
        <v/>
      </c>
      <c r="AL164" s="165" t="str">
        <f>IFERROR(VALUE(LEFT(OpenPendingCases[[#This Row],[Price]],FIND(" ",OpenPendingCases[[#This Row],[Price]])-1)),"")</f>
        <v/>
      </c>
      <c r="AM164" s="165" t="str">
        <f>IFERROR(VALUE(_xlfn.TEXTBEFORE(OpenPendingCases[[#This Row],[Price]]," AED")),"")</f>
        <v/>
      </c>
      <c r="AN164" s="165"/>
    </row>
    <row r="165" spans="3:40" ht="18" hidden="1" x14ac:dyDescent="0.35">
      <c r="C165" s="134"/>
      <c r="D165" s="137" t="str">
        <f>IF($U165="Open Sale", IF(MAX($D$4:D164)+1=0, "", MAX($D$4:D164)+1), "")</f>
        <v/>
      </c>
      <c r="E165" s="137" t="str">
        <f>IF($U165="Pending Allocation", IF(MAX($E$4:E164)+1=0, "", MAX($E$4:E164)+1), "")</f>
        <v/>
      </c>
      <c r="F165" s="137"/>
      <c r="G165" s="137"/>
      <c r="H165" s="150"/>
      <c r="I165" s="150"/>
      <c r="J165" s="68" t="str">
        <f>IF(OpenPendingCases[[#This Row],[Timepiece Reference ]]="", "", IF(_xlfn.XLOOKUP(OpenPendingCases[[#This Row],[Timepiece Reference ]], Table1[[Timepiece Reference ]], Table1[CRC STOCK], "Not Found")="YES", "CRC Stock", "Boutique Stock"))</f>
        <v/>
      </c>
      <c r="K165" s="137" t="str">
        <f>IF(OpenPendingCases[[#This Row],[Timepiece Reference ]]="", "", IF(_xlfn.XLOOKUP(OpenPendingCases[[#This Row],[Timepiece Reference ]], Table1[[Timepiece Reference ]], Table1[CRC STOCK], "Not Found")="YES", "CRC Stock", "Boutique Stock"))</f>
        <v/>
      </c>
      <c r="L165" s="140"/>
      <c r="M165" s="141"/>
      <c r="N165" s="137"/>
      <c r="O165" s="134"/>
      <c r="P165" s="94" t="str">
        <f>IFERROR(VLOOKUP(TRIM(O165), Collection!$B$2:$D$1001, 2, FALSE), "")</f>
        <v/>
      </c>
      <c r="Q165" s="190" t="str">
        <f>IFERROR(VLOOKUP(TRIM(O165), Collection!$B$2:$D$1001, 3, FALSE), "")</f>
        <v/>
      </c>
      <c r="R165" s="153" t="str">
        <f t="shared" si="16"/>
        <v/>
      </c>
      <c r="S165" s="151"/>
      <c r="T165" s="158"/>
      <c r="U165" s="137"/>
      <c r="V165" s="137"/>
      <c r="W165" s="156" t="str">
        <f t="shared" si="20"/>
        <v/>
      </c>
      <c r="X165" s="157"/>
      <c r="Y165" s="158"/>
      <c r="Z165" s="158"/>
      <c r="AA165" s="137" t="str">
        <f t="shared" ca="1" si="21"/>
        <v/>
      </c>
      <c r="AB165" s="137" t="str">
        <f t="shared" ca="1" si="17"/>
        <v/>
      </c>
      <c r="AC165" s="160" t="str">
        <f t="shared" ca="1" si="18"/>
        <v/>
      </c>
      <c r="AD165" s="159" t="str">
        <f t="shared" ca="1" si="19"/>
        <v/>
      </c>
      <c r="AE165" s="161"/>
      <c r="AF165" s="161"/>
      <c r="AG165" s="161"/>
      <c r="AH165" s="137"/>
      <c r="AI165" s="164" t="str">
        <f t="shared" si="22"/>
        <v/>
      </c>
      <c r="AJ165" s="164" t="str">
        <f>IF(AND(OpenPendingCases[[#This Row],[Sale Status	]]="Open Sale",OpenPendingCases[[#This Row],[Potential Same Month]]="High"),TEXT(OpenPendingCases[[#This Row],[Request Entry Date]], "[$-en-us]mmmm"),"")</f>
        <v/>
      </c>
      <c r="AK165" s="165" t="str">
        <f>IFERROR(VALUE(SUBSTITUTE(OpenPendingCases[[#This Row],[Price]]," AED","")),"")</f>
        <v/>
      </c>
      <c r="AL165" s="165" t="str">
        <f>IFERROR(VALUE(LEFT(OpenPendingCases[[#This Row],[Price]],FIND(" ",OpenPendingCases[[#This Row],[Price]])-1)),"")</f>
        <v/>
      </c>
      <c r="AM165" s="165" t="str">
        <f>IFERROR(VALUE(_xlfn.TEXTBEFORE(OpenPendingCases[[#This Row],[Price]]," AED")),"")</f>
        <v/>
      </c>
      <c r="AN165" s="165"/>
    </row>
    <row r="166" spans="3:40" ht="18" hidden="1" x14ac:dyDescent="0.35">
      <c r="C166" s="134"/>
      <c r="D166" s="137" t="str">
        <f>IF($U166="Open Sale", IF(MAX($D$4:D165)+1=0, "", MAX($D$4:D165)+1), "")</f>
        <v/>
      </c>
      <c r="E166" s="137" t="str">
        <f>IF($U166="Pending Allocation", IF(MAX($E$4:E165)+1=0, "", MAX($E$4:E165)+1), "")</f>
        <v/>
      </c>
      <c r="F166" s="137"/>
      <c r="G166" s="137"/>
      <c r="H166" s="150"/>
      <c r="I166" s="150"/>
      <c r="J166" s="68" t="str">
        <f>IF(OpenPendingCases[[#This Row],[Timepiece Reference ]]="", "", IF(_xlfn.XLOOKUP(OpenPendingCases[[#This Row],[Timepiece Reference ]], Table1[[Timepiece Reference ]], Table1[CRC STOCK], "Not Found")="YES", "CRC Stock", "Boutique Stock"))</f>
        <v/>
      </c>
      <c r="K166" s="137" t="str">
        <f>IF(OpenPendingCases[[#This Row],[Timepiece Reference ]]="", "", IF(_xlfn.XLOOKUP(OpenPendingCases[[#This Row],[Timepiece Reference ]], Table1[[Timepiece Reference ]], Table1[CRC STOCK], "Not Found")="YES", "CRC Stock", "Boutique Stock"))</f>
        <v/>
      </c>
      <c r="L166" s="140"/>
      <c r="M166" s="144"/>
      <c r="N166" s="137"/>
      <c r="O166" s="134"/>
      <c r="P166" s="94" t="str">
        <f>IFERROR(VLOOKUP(TRIM(O166), Collection!$B$2:$D$1001, 2, FALSE), "")</f>
        <v/>
      </c>
      <c r="Q166" s="190" t="str">
        <f>IFERROR(VLOOKUP(TRIM(O166), Collection!$B$2:$D$1001, 3, FALSE), "")</f>
        <v/>
      </c>
      <c r="R166" s="153" t="str">
        <f t="shared" si="16"/>
        <v/>
      </c>
      <c r="S166" s="151"/>
      <c r="T166" s="158"/>
      <c r="U166" s="137"/>
      <c r="V166" s="137"/>
      <c r="W166" s="156" t="str">
        <f t="shared" si="20"/>
        <v/>
      </c>
      <c r="X166" s="157"/>
      <c r="Y166" s="158"/>
      <c r="Z166" s="158"/>
      <c r="AA166" s="137" t="str">
        <f t="shared" ca="1" si="21"/>
        <v/>
      </c>
      <c r="AB166" s="137" t="str">
        <f t="shared" ca="1" si="17"/>
        <v/>
      </c>
      <c r="AC166" s="160" t="str">
        <f t="shared" ca="1" si="18"/>
        <v/>
      </c>
      <c r="AD166" s="159" t="str">
        <f t="shared" ca="1" si="19"/>
        <v/>
      </c>
      <c r="AE166" s="161"/>
      <c r="AF166" s="161"/>
      <c r="AG166" s="161"/>
      <c r="AH166" s="137"/>
      <c r="AI166" s="164" t="str">
        <f t="shared" si="22"/>
        <v/>
      </c>
      <c r="AJ166" s="164" t="str">
        <f>IF(AND(OpenPendingCases[[#This Row],[Sale Status	]]="Open Sale",OpenPendingCases[[#This Row],[Potential Same Month]]="High"),TEXT(OpenPendingCases[[#This Row],[Request Entry Date]], "[$-en-us]mmmm"),"")</f>
        <v/>
      </c>
      <c r="AK166" s="165" t="str">
        <f>IFERROR(VALUE(SUBSTITUTE(OpenPendingCases[[#This Row],[Price]]," AED","")),"")</f>
        <v/>
      </c>
      <c r="AL166" s="165" t="str">
        <f>IFERROR(VALUE(LEFT(OpenPendingCases[[#This Row],[Price]],FIND(" ",OpenPendingCases[[#This Row],[Price]])-1)),"")</f>
        <v/>
      </c>
      <c r="AM166" s="165" t="str">
        <f>IFERROR(VALUE(_xlfn.TEXTBEFORE(OpenPendingCases[[#This Row],[Price]]," AED")),"")</f>
        <v/>
      </c>
      <c r="AN166" s="165"/>
    </row>
    <row r="167" spans="3:40" ht="18" hidden="1" x14ac:dyDescent="0.35">
      <c r="C167" s="134"/>
      <c r="D167" s="137" t="str">
        <f>IF($U167="Open Sale", IF(MAX($D$4:D166)+1=0, "", MAX($D$4:D166)+1), "")</f>
        <v/>
      </c>
      <c r="E167" s="137" t="str">
        <f>IF($U167="Pending Allocation", IF(MAX($E$4:E166)+1=0, "", MAX($E$4:E166)+1), "")</f>
        <v/>
      </c>
      <c r="F167" s="137"/>
      <c r="G167" s="137"/>
      <c r="H167" s="150"/>
      <c r="I167" s="150"/>
      <c r="J167" s="68" t="str">
        <f>IF(OpenPendingCases[[#This Row],[Timepiece Reference ]]="", "", IF(_xlfn.XLOOKUP(OpenPendingCases[[#This Row],[Timepiece Reference ]], Table1[[Timepiece Reference ]], Table1[CRC STOCK], "Not Found")="YES", "CRC Stock", "Boutique Stock"))</f>
        <v/>
      </c>
      <c r="K167" s="137" t="str">
        <f>IF(OpenPendingCases[[#This Row],[Timepiece Reference ]]="", "", IF(_xlfn.XLOOKUP(OpenPendingCases[[#This Row],[Timepiece Reference ]], Table1[[Timepiece Reference ]], Table1[CRC STOCK], "Not Found")="YES", "CRC Stock", "Boutique Stock"))</f>
        <v/>
      </c>
      <c r="L167" s="140"/>
      <c r="M167" s="141"/>
      <c r="N167" s="137"/>
      <c r="O167" s="134"/>
      <c r="P167" s="94" t="str">
        <f>IFERROR(VLOOKUP(TRIM(O167), Collection!$B$2:$D$1001, 2, FALSE), "")</f>
        <v/>
      </c>
      <c r="Q167" s="190" t="str">
        <f>IFERROR(VLOOKUP(TRIM(O167), Collection!$B$2:$D$1001, 3, FALSE), "")</f>
        <v/>
      </c>
      <c r="R167" s="153" t="str">
        <f t="shared" si="16"/>
        <v/>
      </c>
      <c r="S167" s="151"/>
      <c r="T167" s="158"/>
      <c r="U167" s="137"/>
      <c r="V167" s="137"/>
      <c r="W167" s="156" t="str">
        <f t="shared" si="20"/>
        <v/>
      </c>
      <c r="X167" s="157"/>
      <c r="Y167" s="158"/>
      <c r="Z167" s="158"/>
      <c r="AA167" s="137" t="str">
        <f t="shared" ca="1" si="21"/>
        <v/>
      </c>
      <c r="AB167" s="137" t="str">
        <f t="shared" ca="1" si="17"/>
        <v/>
      </c>
      <c r="AC167" s="160" t="str">
        <f t="shared" ca="1" si="18"/>
        <v/>
      </c>
      <c r="AD167" s="159" t="str">
        <f t="shared" ca="1" si="19"/>
        <v/>
      </c>
      <c r="AE167" s="161"/>
      <c r="AF167" s="161"/>
      <c r="AG167" s="161"/>
      <c r="AH167" s="137"/>
      <c r="AI167" s="164" t="str">
        <f t="shared" si="22"/>
        <v/>
      </c>
      <c r="AJ167" s="164" t="str">
        <f>IF(AND(OpenPendingCases[[#This Row],[Sale Status	]]="Open Sale",OpenPendingCases[[#This Row],[Potential Same Month]]="High"),TEXT(OpenPendingCases[[#This Row],[Request Entry Date]], "[$-en-us]mmmm"),"")</f>
        <v/>
      </c>
      <c r="AK167" s="165" t="str">
        <f>IFERROR(VALUE(SUBSTITUTE(OpenPendingCases[[#This Row],[Price]]," AED","")),"")</f>
        <v/>
      </c>
      <c r="AL167" s="165" t="str">
        <f>IFERROR(VALUE(LEFT(OpenPendingCases[[#This Row],[Price]],FIND(" ",OpenPendingCases[[#This Row],[Price]])-1)),"")</f>
        <v/>
      </c>
      <c r="AM167" s="165" t="str">
        <f>IFERROR(VALUE(_xlfn.TEXTBEFORE(OpenPendingCases[[#This Row],[Price]]," AED")),"")</f>
        <v/>
      </c>
      <c r="AN167" s="165"/>
    </row>
    <row r="168" spans="3:40" ht="18" hidden="1" x14ac:dyDescent="0.35">
      <c r="C168" s="134"/>
      <c r="D168" s="137" t="str">
        <f>IF($U168="Open Sale", IF(MAX($D$4:D167)+1=0, "", MAX($D$4:D167)+1), "")</f>
        <v/>
      </c>
      <c r="E168" s="137" t="str">
        <f>IF($U168="Pending Allocation", IF(MAX($E$4:E167)+1=0, "", MAX($E$4:E167)+1), "")</f>
        <v/>
      </c>
      <c r="F168" s="137"/>
      <c r="G168" s="137"/>
      <c r="H168" s="150"/>
      <c r="I168" s="150"/>
      <c r="J168" s="68" t="str">
        <f>IF(OpenPendingCases[[#This Row],[Timepiece Reference ]]="", "", IF(_xlfn.XLOOKUP(OpenPendingCases[[#This Row],[Timepiece Reference ]], Table1[[Timepiece Reference ]], Table1[CRC STOCK], "Not Found")="YES", "CRC Stock", "Boutique Stock"))</f>
        <v/>
      </c>
      <c r="K168" s="137" t="str">
        <f>IF(OpenPendingCases[[#This Row],[Timepiece Reference ]]="", "", IF(_xlfn.XLOOKUP(OpenPendingCases[[#This Row],[Timepiece Reference ]], Table1[[Timepiece Reference ]], Table1[CRC STOCK], "Not Found")="YES", "CRC Stock", "Boutique Stock"))</f>
        <v/>
      </c>
      <c r="L168" s="140"/>
      <c r="M168" s="141"/>
      <c r="N168" s="137"/>
      <c r="O168" s="134"/>
      <c r="P168" s="94" t="str">
        <f>IFERROR(VLOOKUP(TRIM(O168), Collection!$B$2:$D$1001, 2, FALSE), "")</f>
        <v/>
      </c>
      <c r="Q168" s="190" t="str">
        <f>IFERROR(VLOOKUP(TRIM(O168), Collection!$B$2:$D$1001, 3, FALSE), "")</f>
        <v/>
      </c>
      <c r="R168" s="153" t="str">
        <f t="shared" si="16"/>
        <v/>
      </c>
      <c r="S168" s="151"/>
      <c r="T168" s="158"/>
      <c r="U168" s="137"/>
      <c r="V168" s="137"/>
      <c r="W168" s="156" t="str">
        <f t="shared" si="20"/>
        <v/>
      </c>
      <c r="X168" s="157"/>
      <c r="Y168" s="158"/>
      <c r="Z168" s="158"/>
      <c r="AA168" s="137" t="str">
        <f t="shared" ca="1" si="21"/>
        <v/>
      </c>
      <c r="AB168" s="137" t="str">
        <f t="shared" ca="1" si="17"/>
        <v/>
      </c>
      <c r="AC168" s="160" t="str">
        <f t="shared" ca="1" si="18"/>
        <v/>
      </c>
      <c r="AD168" s="159" t="str">
        <f t="shared" ca="1" si="19"/>
        <v/>
      </c>
      <c r="AE168" s="161"/>
      <c r="AF168" s="161"/>
      <c r="AG168" s="161"/>
      <c r="AH168" s="137"/>
      <c r="AI168" s="164" t="str">
        <f t="shared" si="22"/>
        <v/>
      </c>
      <c r="AJ168" s="164" t="str">
        <f>IF(AND(OpenPendingCases[[#This Row],[Sale Status	]]="Open Sale",OpenPendingCases[[#This Row],[Potential Same Month]]="High"),TEXT(OpenPendingCases[[#This Row],[Request Entry Date]], "[$-en-us]mmmm"),"")</f>
        <v/>
      </c>
      <c r="AK168" s="165" t="str">
        <f>IFERROR(VALUE(SUBSTITUTE(OpenPendingCases[[#This Row],[Price]]," AED","")),"")</f>
        <v/>
      </c>
      <c r="AL168" s="165" t="str">
        <f>IFERROR(VALUE(LEFT(OpenPendingCases[[#This Row],[Price]],FIND(" ",OpenPendingCases[[#This Row],[Price]])-1)),"")</f>
        <v/>
      </c>
      <c r="AM168" s="165" t="str">
        <f>IFERROR(VALUE(_xlfn.TEXTBEFORE(OpenPendingCases[[#This Row],[Price]]," AED")),"")</f>
        <v/>
      </c>
      <c r="AN168" s="165"/>
    </row>
    <row r="169" spans="3:40" ht="18" hidden="1" x14ac:dyDescent="0.35">
      <c r="C169" s="134"/>
      <c r="D169" s="137" t="str">
        <f>IF($U169="Open Sale", IF(MAX($D$4:D168)+1=0, "", MAX($D$4:D168)+1), "")</f>
        <v/>
      </c>
      <c r="E169" s="137" t="str">
        <f>IF($U169="Pending Allocation", IF(MAX($E$4:E168)+1=0, "", MAX($E$4:E168)+1), "")</f>
        <v/>
      </c>
      <c r="F169" s="137"/>
      <c r="G169" s="137"/>
      <c r="H169" s="150"/>
      <c r="I169" s="150"/>
      <c r="J169" s="68" t="str">
        <f>IF(OpenPendingCases[[#This Row],[Timepiece Reference ]]="", "", IF(_xlfn.XLOOKUP(OpenPendingCases[[#This Row],[Timepiece Reference ]], Table1[[Timepiece Reference ]], Table1[CRC STOCK], "Not Found")="YES", "CRC Stock", "Boutique Stock"))</f>
        <v/>
      </c>
      <c r="K169" s="137" t="str">
        <f>IF(OpenPendingCases[[#This Row],[Timepiece Reference ]]="", "", IF(_xlfn.XLOOKUP(OpenPendingCases[[#This Row],[Timepiece Reference ]], Table1[[Timepiece Reference ]], Table1[CRC STOCK], "Not Found")="YES", "CRC Stock", "Boutique Stock"))</f>
        <v/>
      </c>
      <c r="L169" s="140"/>
      <c r="M169" s="141"/>
      <c r="N169" s="137"/>
      <c r="O169" s="134"/>
      <c r="P169" s="94" t="str">
        <f>IFERROR(VLOOKUP(TRIM(O169), Collection!$B$2:$D$1001, 2, FALSE), "")</f>
        <v/>
      </c>
      <c r="Q169" s="190" t="str">
        <f>IFERROR(VLOOKUP(TRIM(O169), Collection!$B$2:$D$1001, 3, FALSE), "")</f>
        <v/>
      </c>
      <c r="R169" s="153" t="str">
        <f t="shared" si="16"/>
        <v/>
      </c>
      <c r="S169" s="151"/>
      <c r="T169" s="158"/>
      <c r="U169" s="137"/>
      <c r="V169" s="137"/>
      <c r="W169" s="156" t="str">
        <f t="shared" si="20"/>
        <v/>
      </c>
      <c r="X169" s="157"/>
      <c r="Y169" s="158"/>
      <c r="Z169" s="158"/>
      <c r="AA169" s="137" t="str">
        <f t="shared" ca="1" si="21"/>
        <v/>
      </c>
      <c r="AB169" s="137" t="str">
        <f t="shared" ca="1" si="17"/>
        <v/>
      </c>
      <c r="AC169" s="160" t="str">
        <f t="shared" ca="1" si="18"/>
        <v/>
      </c>
      <c r="AD169" s="159" t="str">
        <f t="shared" ca="1" si="19"/>
        <v/>
      </c>
      <c r="AE169" s="161"/>
      <c r="AF169" s="161"/>
      <c r="AG169" s="161"/>
      <c r="AH169" s="137"/>
      <c r="AI169" s="164" t="str">
        <f t="shared" si="22"/>
        <v/>
      </c>
      <c r="AJ169" s="164" t="str">
        <f>IF(AND(OpenPendingCases[[#This Row],[Sale Status	]]="Open Sale",OpenPendingCases[[#This Row],[Potential Same Month]]="High"),TEXT(OpenPendingCases[[#This Row],[Request Entry Date]], "[$-en-us]mmmm"),"")</f>
        <v/>
      </c>
      <c r="AK169" s="165" t="str">
        <f>IFERROR(VALUE(SUBSTITUTE(OpenPendingCases[[#This Row],[Price]]," AED","")),"")</f>
        <v/>
      </c>
      <c r="AL169" s="165" t="str">
        <f>IFERROR(VALUE(LEFT(OpenPendingCases[[#This Row],[Price]],FIND(" ",OpenPendingCases[[#This Row],[Price]])-1)),"")</f>
        <v/>
      </c>
      <c r="AM169" s="165" t="str">
        <f>IFERROR(VALUE(_xlfn.TEXTBEFORE(OpenPendingCases[[#This Row],[Price]]," AED")),"")</f>
        <v/>
      </c>
      <c r="AN169" s="165"/>
    </row>
    <row r="170" spans="3:40" ht="18" hidden="1" x14ac:dyDescent="0.35">
      <c r="C170" s="134"/>
      <c r="D170" s="137" t="str">
        <f>IF($U170="Open Sale", IF(MAX($D$4:D169)+1=0, "", MAX($D$4:D169)+1), "")</f>
        <v/>
      </c>
      <c r="E170" s="137" t="str">
        <f>IF($U170="Pending Allocation", IF(MAX($E$4:E169)+1=0, "", MAX($E$4:E169)+1), "")</f>
        <v/>
      </c>
      <c r="F170" s="137"/>
      <c r="G170" s="137"/>
      <c r="H170" s="150"/>
      <c r="I170" s="150"/>
      <c r="J170" s="68" t="str">
        <f>IF(OpenPendingCases[[#This Row],[Timepiece Reference ]]="", "", IF(_xlfn.XLOOKUP(OpenPendingCases[[#This Row],[Timepiece Reference ]], Table1[[Timepiece Reference ]], Table1[CRC STOCK], "Not Found")="YES", "CRC Stock", "Boutique Stock"))</f>
        <v/>
      </c>
      <c r="K170" s="137" t="str">
        <f>IF(OpenPendingCases[[#This Row],[Timepiece Reference ]]="", "", IF(_xlfn.XLOOKUP(OpenPendingCases[[#This Row],[Timepiece Reference ]], Table1[[Timepiece Reference ]], Table1[CRC STOCK], "Not Found")="YES", "CRC Stock", "Boutique Stock"))</f>
        <v/>
      </c>
      <c r="L170" s="140"/>
      <c r="M170" s="141"/>
      <c r="N170" s="137"/>
      <c r="O170" s="134"/>
      <c r="P170" s="94" t="str">
        <f>IFERROR(VLOOKUP(TRIM(O170), Collection!$B$2:$D$1001, 2, FALSE), "")</f>
        <v/>
      </c>
      <c r="Q170" s="190" t="str">
        <f>IFERROR(VLOOKUP(TRIM(O170), Collection!$B$2:$D$1001, 3, FALSE), "")</f>
        <v/>
      </c>
      <c r="R170" s="153" t="str">
        <f t="shared" si="16"/>
        <v/>
      </c>
      <c r="S170" s="151"/>
      <c r="T170" s="158"/>
      <c r="U170" s="137"/>
      <c r="V170" s="137"/>
      <c r="W170" s="156" t="str">
        <f t="shared" si="20"/>
        <v/>
      </c>
      <c r="X170" s="157"/>
      <c r="Y170" s="158"/>
      <c r="Z170" s="158"/>
      <c r="AA170" s="137" t="str">
        <f t="shared" ca="1" si="21"/>
        <v/>
      </c>
      <c r="AB170" s="137" t="str">
        <f t="shared" ca="1" si="17"/>
        <v/>
      </c>
      <c r="AC170" s="160" t="str">
        <f t="shared" ca="1" si="18"/>
        <v/>
      </c>
      <c r="AD170" s="159" t="str">
        <f t="shared" ca="1" si="19"/>
        <v/>
      </c>
      <c r="AE170" s="161"/>
      <c r="AF170" s="161"/>
      <c r="AG170" s="161"/>
      <c r="AH170" s="137"/>
      <c r="AI170" s="164" t="str">
        <f t="shared" si="22"/>
        <v/>
      </c>
      <c r="AJ170" s="164" t="str">
        <f>IF(AND(OpenPendingCases[[#This Row],[Sale Status	]]="Open Sale",OpenPendingCases[[#This Row],[Potential Same Month]]="High"),TEXT(OpenPendingCases[[#This Row],[Request Entry Date]], "[$-en-us]mmmm"),"")</f>
        <v/>
      </c>
      <c r="AK170" s="165" t="str">
        <f>IFERROR(VALUE(SUBSTITUTE(OpenPendingCases[[#This Row],[Price]]," AED","")),"")</f>
        <v/>
      </c>
      <c r="AL170" s="165" t="str">
        <f>IFERROR(VALUE(LEFT(OpenPendingCases[[#This Row],[Price]],FIND(" ",OpenPendingCases[[#This Row],[Price]])-1)),"")</f>
        <v/>
      </c>
      <c r="AM170" s="165" t="str">
        <f>IFERROR(VALUE(_xlfn.TEXTBEFORE(OpenPendingCases[[#This Row],[Price]]," AED")),"")</f>
        <v/>
      </c>
      <c r="AN170" s="165"/>
    </row>
    <row r="171" spans="3:40" ht="18" hidden="1" x14ac:dyDescent="0.35">
      <c r="C171" s="134"/>
      <c r="D171" s="137" t="str">
        <f>IF($U171="Open Sale", IF(MAX($D$4:D170)+1=0, "", MAX($D$4:D170)+1), "")</f>
        <v/>
      </c>
      <c r="E171" s="137" t="str">
        <f>IF($U171="Pending Allocation", IF(MAX($E$4:E170)+1=0, "", MAX($E$4:E170)+1), "")</f>
        <v/>
      </c>
      <c r="F171" s="137"/>
      <c r="G171" s="137"/>
      <c r="H171" s="150"/>
      <c r="I171" s="150"/>
      <c r="J171" s="68" t="str">
        <f>IF(OpenPendingCases[[#This Row],[Timepiece Reference ]]="", "", IF(_xlfn.XLOOKUP(OpenPendingCases[[#This Row],[Timepiece Reference ]], Table1[[Timepiece Reference ]], Table1[CRC STOCK], "Not Found")="YES", "CRC Stock", "Boutique Stock"))</f>
        <v/>
      </c>
      <c r="K171" s="137" t="str">
        <f>IF(OpenPendingCases[[#This Row],[Timepiece Reference ]]="", "", IF(_xlfn.XLOOKUP(OpenPendingCases[[#This Row],[Timepiece Reference ]], Table1[[Timepiece Reference ]], Table1[CRC STOCK], "Not Found")="YES", "CRC Stock", "Boutique Stock"))</f>
        <v/>
      </c>
      <c r="L171" s="140"/>
      <c r="M171" s="141"/>
      <c r="N171" s="137"/>
      <c r="O171" s="134"/>
      <c r="P171" s="94" t="str">
        <f>IFERROR(VLOOKUP(TRIM(O171), Collection!$B$2:$D$1001, 2, FALSE), "")</f>
        <v/>
      </c>
      <c r="Q171" s="190" t="str">
        <f>IFERROR(VLOOKUP(TRIM(O171), Collection!$B$2:$D$1001, 3, FALSE), "")</f>
        <v/>
      </c>
      <c r="R171" s="153" t="str">
        <f t="shared" si="16"/>
        <v/>
      </c>
      <c r="S171" s="151"/>
      <c r="T171" s="158"/>
      <c r="U171" s="137"/>
      <c r="V171" s="137"/>
      <c r="W171" s="156" t="str">
        <f t="shared" si="20"/>
        <v/>
      </c>
      <c r="X171" s="157"/>
      <c r="Y171" s="158"/>
      <c r="Z171" s="158"/>
      <c r="AA171" s="137" t="str">
        <f t="shared" ca="1" si="21"/>
        <v/>
      </c>
      <c r="AB171" s="137" t="str">
        <f t="shared" ca="1" si="17"/>
        <v/>
      </c>
      <c r="AC171" s="160" t="str">
        <f t="shared" ca="1" si="18"/>
        <v/>
      </c>
      <c r="AD171" s="159" t="str">
        <f t="shared" ca="1" si="19"/>
        <v/>
      </c>
      <c r="AE171" s="161"/>
      <c r="AF171" s="161"/>
      <c r="AG171" s="161"/>
      <c r="AH171" s="137"/>
      <c r="AI171" s="164" t="str">
        <f t="shared" si="22"/>
        <v/>
      </c>
      <c r="AJ171" s="164" t="str">
        <f>IF(AND(OpenPendingCases[[#This Row],[Sale Status	]]="Open Sale",OpenPendingCases[[#This Row],[Potential Same Month]]="High"),TEXT(OpenPendingCases[[#This Row],[Request Entry Date]], "[$-en-us]mmmm"),"")</f>
        <v/>
      </c>
      <c r="AK171" s="165" t="str">
        <f>IFERROR(VALUE(SUBSTITUTE(OpenPendingCases[[#This Row],[Price]]," AED","")),"")</f>
        <v/>
      </c>
      <c r="AL171" s="165" t="str">
        <f>IFERROR(VALUE(LEFT(OpenPendingCases[[#This Row],[Price]],FIND(" ",OpenPendingCases[[#This Row],[Price]])-1)),"")</f>
        <v/>
      </c>
      <c r="AM171" s="165" t="str">
        <f>IFERROR(VALUE(_xlfn.TEXTBEFORE(OpenPendingCases[[#This Row],[Price]]," AED")),"")</f>
        <v/>
      </c>
      <c r="AN171" s="165"/>
    </row>
    <row r="172" spans="3:40" ht="18" hidden="1" x14ac:dyDescent="0.35">
      <c r="C172" s="134"/>
      <c r="D172" s="137" t="str">
        <f>IF($U172="Open Sale", IF(MAX($D$4:D171)+1=0, "", MAX($D$4:D171)+1), "")</f>
        <v/>
      </c>
      <c r="E172" s="137" t="str">
        <f>IF($U172="Pending Allocation", IF(MAX($E$4:E171)+1=0, "", MAX($E$4:E171)+1), "")</f>
        <v/>
      </c>
      <c r="F172" s="137"/>
      <c r="G172" s="137"/>
      <c r="H172" s="150"/>
      <c r="I172" s="150"/>
      <c r="J172" s="68" t="str">
        <f>IF(OpenPendingCases[[#This Row],[Timepiece Reference ]]="", "", IF(_xlfn.XLOOKUP(OpenPendingCases[[#This Row],[Timepiece Reference ]], Table1[[Timepiece Reference ]], Table1[CRC STOCK], "Not Found")="YES", "CRC Stock", "Boutique Stock"))</f>
        <v/>
      </c>
      <c r="K172" s="137" t="str">
        <f>IF(OpenPendingCases[[#This Row],[Timepiece Reference ]]="", "", IF(_xlfn.XLOOKUP(OpenPendingCases[[#This Row],[Timepiece Reference ]], Table1[[Timepiece Reference ]], Table1[CRC STOCK], "Not Found")="YES", "CRC Stock", "Boutique Stock"))</f>
        <v/>
      </c>
      <c r="L172" s="140"/>
      <c r="M172" s="141"/>
      <c r="N172" s="137"/>
      <c r="O172" s="134"/>
      <c r="P172" s="94" t="str">
        <f>IFERROR(VLOOKUP(TRIM(O172), Collection!$B$2:$D$1001, 2, FALSE), "")</f>
        <v/>
      </c>
      <c r="Q172" s="190" t="str">
        <f>IFERROR(VLOOKUP(TRIM(O172), Collection!$B$2:$D$1001, 3, FALSE), "")</f>
        <v/>
      </c>
      <c r="R172" s="153" t="str">
        <f t="shared" si="16"/>
        <v/>
      </c>
      <c r="S172" s="151"/>
      <c r="T172" s="158"/>
      <c r="U172" s="137"/>
      <c r="V172" s="137"/>
      <c r="W172" s="156" t="str">
        <f t="shared" si="20"/>
        <v/>
      </c>
      <c r="X172" s="157"/>
      <c r="Y172" s="158"/>
      <c r="Z172" s="158"/>
      <c r="AA172" s="137" t="str">
        <f t="shared" ca="1" si="21"/>
        <v/>
      </c>
      <c r="AB172" s="137" t="str">
        <f t="shared" ca="1" si="17"/>
        <v/>
      </c>
      <c r="AC172" s="160" t="str">
        <f t="shared" ca="1" si="18"/>
        <v/>
      </c>
      <c r="AD172" s="159" t="str">
        <f t="shared" ca="1" si="19"/>
        <v/>
      </c>
      <c r="AE172" s="161"/>
      <c r="AF172" s="161"/>
      <c r="AG172" s="161"/>
      <c r="AH172" s="137"/>
      <c r="AI172" s="164" t="str">
        <f t="shared" si="22"/>
        <v/>
      </c>
      <c r="AJ172" s="164" t="str">
        <f>IF(AND(OpenPendingCases[[#This Row],[Sale Status	]]="Open Sale",OpenPendingCases[[#This Row],[Potential Same Month]]="High"),TEXT(OpenPendingCases[[#This Row],[Request Entry Date]], "[$-en-us]mmmm"),"")</f>
        <v/>
      </c>
      <c r="AK172" s="165" t="str">
        <f>IFERROR(VALUE(SUBSTITUTE(OpenPendingCases[[#This Row],[Price]]," AED","")),"")</f>
        <v/>
      </c>
      <c r="AL172" s="165" t="str">
        <f>IFERROR(VALUE(LEFT(OpenPendingCases[[#This Row],[Price]],FIND(" ",OpenPendingCases[[#This Row],[Price]])-1)),"")</f>
        <v/>
      </c>
      <c r="AM172" s="165" t="str">
        <f>IFERROR(VALUE(_xlfn.TEXTBEFORE(OpenPendingCases[[#This Row],[Price]]," AED")),"")</f>
        <v/>
      </c>
      <c r="AN172" s="165"/>
    </row>
    <row r="173" spans="3:40" ht="18" hidden="1" x14ac:dyDescent="0.35">
      <c r="C173" s="134"/>
      <c r="D173" s="137" t="str">
        <f>IF($U173="Open Sale", IF(MAX($D$4:D172)+1=0, "", MAX($D$4:D172)+1), "")</f>
        <v/>
      </c>
      <c r="E173" s="137" t="str">
        <f>IF($U173="Pending Allocation", IF(MAX($E$4:E172)+1=0, "", MAX($E$4:E172)+1), "")</f>
        <v/>
      </c>
      <c r="F173" s="137"/>
      <c r="G173" s="137"/>
      <c r="H173" s="150"/>
      <c r="I173" s="150"/>
      <c r="J173" s="68" t="str">
        <f>IF(OpenPendingCases[[#This Row],[Timepiece Reference ]]="", "", IF(_xlfn.XLOOKUP(OpenPendingCases[[#This Row],[Timepiece Reference ]], Table1[[Timepiece Reference ]], Table1[CRC STOCK], "Not Found")="YES", "CRC Stock", "Boutique Stock"))</f>
        <v/>
      </c>
      <c r="K173" s="137" t="str">
        <f>IF(OpenPendingCases[[#This Row],[Timepiece Reference ]]="", "", IF(_xlfn.XLOOKUP(OpenPendingCases[[#This Row],[Timepiece Reference ]], Table1[[Timepiece Reference ]], Table1[CRC STOCK], "Not Found")="YES", "CRC Stock", "Boutique Stock"))</f>
        <v/>
      </c>
      <c r="L173" s="140"/>
      <c r="M173" s="141"/>
      <c r="N173" s="137"/>
      <c r="O173" s="134"/>
      <c r="P173" s="94" t="str">
        <f>IFERROR(VLOOKUP(TRIM(O173), Collection!$B$2:$D$1001, 2, FALSE), "")</f>
        <v/>
      </c>
      <c r="Q173" s="190" t="str">
        <f>IFERROR(VLOOKUP(TRIM(O173), Collection!$B$2:$D$1001, 3, FALSE), "")</f>
        <v/>
      </c>
      <c r="R173" s="153" t="str">
        <f t="shared" si="16"/>
        <v/>
      </c>
      <c r="S173" s="151"/>
      <c r="T173" s="158"/>
      <c r="U173" s="137"/>
      <c r="V173" s="137"/>
      <c r="W173" s="156" t="str">
        <f t="shared" si="20"/>
        <v/>
      </c>
      <c r="X173" s="157"/>
      <c r="Y173" s="158"/>
      <c r="Z173" s="158"/>
      <c r="AA173" s="137" t="str">
        <f t="shared" ca="1" si="21"/>
        <v/>
      </c>
      <c r="AB173" s="137" t="str">
        <f t="shared" ca="1" si="17"/>
        <v/>
      </c>
      <c r="AC173" s="160" t="str">
        <f t="shared" ca="1" si="18"/>
        <v/>
      </c>
      <c r="AD173" s="159" t="str">
        <f t="shared" ca="1" si="19"/>
        <v/>
      </c>
      <c r="AE173" s="161"/>
      <c r="AF173" s="161"/>
      <c r="AG173" s="161"/>
      <c r="AH173" s="137"/>
      <c r="AI173" s="164" t="str">
        <f t="shared" si="22"/>
        <v/>
      </c>
      <c r="AJ173" s="164" t="str">
        <f>IF(AND(OpenPendingCases[[#This Row],[Sale Status	]]="Open Sale",OpenPendingCases[[#This Row],[Potential Same Month]]="High"),TEXT(OpenPendingCases[[#This Row],[Request Entry Date]], "[$-en-us]mmmm"),"")</f>
        <v/>
      </c>
      <c r="AK173" s="165" t="str">
        <f>IFERROR(VALUE(SUBSTITUTE(OpenPendingCases[[#This Row],[Price]]," AED","")),"")</f>
        <v/>
      </c>
      <c r="AL173" s="165" t="str">
        <f>IFERROR(VALUE(LEFT(OpenPendingCases[[#This Row],[Price]],FIND(" ",OpenPendingCases[[#This Row],[Price]])-1)),"")</f>
        <v/>
      </c>
      <c r="AM173" s="165" t="str">
        <f>IFERROR(VALUE(_xlfn.TEXTBEFORE(OpenPendingCases[[#This Row],[Price]]," AED")),"")</f>
        <v/>
      </c>
      <c r="AN173" s="165"/>
    </row>
    <row r="174" spans="3:40" ht="18" hidden="1" x14ac:dyDescent="0.35">
      <c r="C174" s="134"/>
      <c r="D174" s="137" t="str">
        <f>IF($U174="Open Sale", IF(MAX($D$4:D173)+1=0, "", MAX($D$4:D173)+1), "")</f>
        <v/>
      </c>
      <c r="E174" s="137" t="str">
        <f>IF($U174="Pending Allocation", IF(MAX($E$4:E173)+1=0, "", MAX($E$4:E173)+1), "")</f>
        <v/>
      </c>
      <c r="F174" s="137"/>
      <c r="G174" s="137"/>
      <c r="H174" s="150"/>
      <c r="I174" s="150"/>
      <c r="J174" s="68" t="str">
        <f>IF(OpenPendingCases[[#This Row],[Timepiece Reference ]]="", "", IF(_xlfn.XLOOKUP(OpenPendingCases[[#This Row],[Timepiece Reference ]], Table1[[Timepiece Reference ]], Table1[CRC STOCK], "Not Found")="YES", "CRC Stock", "Boutique Stock"))</f>
        <v/>
      </c>
      <c r="K174" s="137" t="str">
        <f>IF(OpenPendingCases[[#This Row],[Timepiece Reference ]]="", "", IF(_xlfn.XLOOKUP(OpenPendingCases[[#This Row],[Timepiece Reference ]], Table1[[Timepiece Reference ]], Table1[CRC STOCK], "Not Found")="YES", "CRC Stock", "Boutique Stock"))</f>
        <v/>
      </c>
      <c r="L174" s="140"/>
      <c r="M174" s="141"/>
      <c r="N174" s="137"/>
      <c r="O174" s="134"/>
      <c r="P174" s="94" t="str">
        <f>IFERROR(VLOOKUP(TRIM(O174), Collection!$B$2:$D$1001, 2, FALSE), "")</f>
        <v/>
      </c>
      <c r="Q174" s="190" t="str">
        <f>IFERROR(VLOOKUP(TRIM(O174), Collection!$B$2:$D$1001, 3, FALSE), "")</f>
        <v/>
      </c>
      <c r="R174" s="153" t="str">
        <f t="shared" si="16"/>
        <v/>
      </c>
      <c r="S174" s="151"/>
      <c r="T174" s="158"/>
      <c r="U174" s="137"/>
      <c r="V174" s="137"/>
      <c r="W174" s="156" t="str">
        <f t="shared" si="20"/>
        <v/>
      </c>
      <c r="X174" s="157"/>
      <c r="Y174" s="158"/>
      <c r="Z174" s="158"/>
      <c r="AA174" s="137" t="str">
        <f t="shared" ca="1" si="21"/>
        <v/>
      </c>
      <c r="AB174" s="137" t="str">
        <f t="shared" ca="1" si="17"/>
        <v/>
      </c>
      <c r="AC174" s="160" t="str">
        <f t="shared" ca="1" si="18"/>
        <v/>
      </c>
      <c r="AD174" s="159" t="str">
        <f t="shared" ca="1" si="19"/>
        <v/>
      </c>
      <c r="AE174" s="161"/>
      <c r="AF174" s="161"/>
      <c r="AG174" s="161"/>
      <c r="AH174" s="137"/>
      <c r="AI174" s="164" t="str">
        <f t="shared" si="22"/>
        <v/>
      </c>
      <c r="AJ174" s="164" t="str">
        <f>IF(AND(OpenPendingCases[[#This Row],[Sale Status	]]="Open Sale",OpenPendingCases[[#This Row],[Potential Same Month]]="High"),TEXT(OpenPendingCases[[#This Row],[Request Entry Date]], "[$-en-us]mmmm"),"")</f>
        <v/>
      </c>
      <c r="AK174" s="165" t="str">
        <f>IFERROR(VALUE(SUBSTITUTE(OpenPendingCases[[#This Row],[Price]]," AED","")),"")</f>
        <v/>
      </c>
      <c r="AL174" s="165" t="str">
        <f>IFERROR(VALUE(LEFT(OpenPendingCases[[#This Row],[Price]],FIND(" ",OpenPendingCases[[#This Row],[Price]])-1)),"")</f>
        <v/>
      </c>
      <c r="AM174" s="165" t="str">
        <f>IFERROR(VALUE(_xlfn.TEXTBEFORE(OpenPendingCases[[#This Row],[Price]]," AED")),"")</f>
        <v/>
      </c>
      <c r="AN174" s="165"/>
    </row>
    <row r="175" spans="3:40" ht="18" hidden="1" x14ac:dyDescent="0.35">
      <c r="C175" s="134"/>
      <c r="D175" s="137" t="str">
        <f>IF($U175="Open Sale", IF(MAX($D$4:D174)+1=0, "", MAX($D$4:D174)+1), "")</f>
        <v/>
      </c>
      <c r="E175" s="137" t="str">
        <f>IF($U175="Pending Allocation", IF(MAX($E$4:E174)+1=0, "", MAX($E$4:E174)+1), "")</f>
        <v/>
      </c>
      <c r="F175" s="137"/>
      <c r="G175" s="137"/>
      <c r="H175" s="150"/>
      <c r="I175" s="150"/>
      <c r="J175" s="68" t="str">
        <f>IF(OpenPendingCases[[#This Row],[Timepiece Reference ]]="", "", IF(_xlfn.XLOOKUP(OpenPendingCases[[#This Row],[Timepiece Reference ]], Table1[[Timepiece Reference ]], Table1[CRC STOCK], "Not Found")="YES", "CRC Stock", "Boutique Stock"))</f>
        <v/>
      </c>
      <c r="K175" s="137" t="str">
        <f>IF(OpenPendingCases[[#This Row],[Timepiece Reference ]]="", "", IF(_xlfn.XLOOKUP(OpenPendingCases[[#This Row],[Timepiece Reference ]], Table1[[Timepiece Reference ]], Table1[CRC STOCK], "Not Found")="YES", "CRC Stock", "Boutique Stock"))</f>
        <v/>
      </c>
      <c r="L175" s="140"/>
      <c r="M175" s="141"/>
      <c r="N175" s="137"/>
      <c r="O175" s="134"/>
      <c r="P175" s="94" t="str">
        <f>IFERROR(VLOOKUP(TRIM(O175), Collection!$B$2:$D$1001, 2, FALSE), "")</f>
        <v/>
      </c>
      <c r="Q175" s="190" t="str">
        <f>IFERROR(VLOOKUP(TRIM(O175), Collection!$B$2:$D$1001, 3, FALSE), "")</f>
        <v/>
      </c>
      <c r="R175" s="153" t="str">
        <f t="shared" si="16"/>
        <v/>
      </c>
      <c r="S175" s="151"/>
      <c r="T175" s="158"/>
      <c r="U175" s="137"/>
      <c r="V175" s="137"/>
      <c r="W175" s="156" t="str">
        <f t="shared" si="20"/>
        <v/>
      </c>
      <c r="X175" s="157"/>
      <c r="Y175" s="158"/>
      <c r="Z175" s="158"/>
      <c r="AA175" s="137" t="str">
        <f t="shared" ca="1" si="21"/>
        <v/>
      </c>
      <c r="AB175" s="137" t="str">
        <f t="shared" ca="1" si="17"/>
        <v/>
      </c>
      <c r="AC175" s="160" t="str">
        <f t="shared" ca="1" si="18"/>
        <v/>
      </c>
      <c r="AD175" s="159" t="str">
        <f t="shared" ca="1" si="19"/>
        <v/>
      </c>
      <c r="AE175" s="161"/>
      <c r="AF175" s="161"/>
      <c r="AG175" s="161"/>
      <c r="AH175" s="137"/>
      <c r="AI175" s="164" t="str">
        <f t="shared" si="22"/>
        <v/>
      </c>
      <c r="AJ175" s="164" t="str">
        <f>IF(AND(OpenPendingCases[[#This Row],[Sale Status	]]="Open Sale",OpenPendingCases[[#This Row],[Potential Same Month]]="High"),TEXT(OpenPendingCases[[#This Row],[Request Entry Date]], "[$-en-us]mmmm"),"")</f>
        <v/>
      </c>
      <c r="AK175" s="165" t="str">
        <f>IFERROR(VALUE(SUBSTITUTE(OpenPendingCases[[#This Row],[Price]]," AED","")),"")</f>
        <v/>
      </c>
      <c r="AL175" s="165" t="str">
        <f>IFERROR(VALUE(LEFT(OpenPendingCases[[#This Row],[Price]],FIND(" ",OpenPendingCases[[#This Row],[Price]])-1)),"")</f>
        <v/>
      </c>
      <c r="AM175" s="165" t="str">
        <f>IFERROR(VALUE(_xlfn.TEXTBEFORE(OpenPendingCases[[#This Row],[Price]]," AED")),"")</f>
        <v/>
      </c>
      <c r="AN175" s="165"/>
    </row>
    <row r="176" spans="3:40" ht="18" hidden="1" x14ac:dyDescent="0.35">
      <c r="C176" s="134"/>
      <c r="D176" s="137" t="str">
        <f>IF($U176="Open Sale", IF(MAX($D$4:D175)+1=0, "", MAX($D$4:D175)+1), "")</f>
        <v/>
      </c>
      <c r="E176" s="137" t="str">
        <f>IF($U176="Pending Allocation", IF(MAX($E$4:E175)+1=0, "", MAX($E$4:E175)+1), "")</f>
        <v/>
      </c>
      <c r="F176" s="137"/>
      <c r="G176" s="137"/>
      <c r="H176" s="150"/>
      <c r="I176" s="150"/>
      <c r="J176" s="68" t="str">
        <f>IF(OpenPendingCases[[#This Row],[Timepiece Reference ]]="", "", IF(_xlfn.XLOOKUP(OpenPendingCases[[#This Row],[Timepiece Reference ]], Table1[[Timepiece Reference ]], Table1[CRC STOCK], "Not Found")="YES", "CRC Stock", "Boutique Stock"))</f>
        <v/>
      </c>
      <c r="K176" s="137" t="str">
        <f>IF(OpenPendingCases[[#This Row],[Timepiece Reference ]]="", "", IF(_xlfn.XLOOKUP(OpenPendingCases[[#This Row],[Timepiece Reference ]], Table1[[Timepiece Reference ]], Table1[CRC STOCK], "Not Found")="YES", "CRC Stock", "Boutique Stock"))</f>
        <v/>
      </c>
      <c r="L176" s="140"/>
      <c r="M176" s="141"/>
      <c r="N176" s="137"/>
      <c r="O176" s="134"/>
      <c r="P176" s="94" t="str">
        <f>IFERROR(VLOOKUP(TRIM(O176), Collection!$B$2:$D$1001, 2, FALSE), "")</f>
        <v/>
      </c>
      <c r="Q176" s="190" t="str">
        <f>IFERROR(VLOOKUP(TRIM(O176), Collection!$B$2:$D$1001, 3, FALSE), "")</f>
        <v/>
      </c>
      <c r="R176" s="153" t="str">
        <f t="shared" si="16"/>
        <v/>
      </c>
      <c r="S176" s="151"/>
      <c r="T176" s="158"/>
      <c r="U176" s="137"/>
      <c r="V176" s="137"/>
      <c r="W176" s="156" t="str">
        <f t="shared" si="20"/>
        <v/>
      </c>
      <c r="X176" s="157"/>
      <c r="Y176" s="158"/>
      <c r="Z176" s="158"/>
      <c r="AA176" s="137" t="str">
        <f t="shared" ca="1" si="21"/>
        <v/>
      </c>
      <c r="AB176" s="137" t="str">
        <f t="shared" ca="1" si="17"/>
        <v/>
      </c>
      <c r="AC176" s="160" t="str">
        <f t="shared" ca="1" si="18"/>
        <v/>
      </c>
      <c r="AD176" s="159" t="str">
        <f t="shared" ca="1" si="19"/>
        <v/>
      </c>
      <c r="AE176" s="161"/>
      <c r="AF176" s="161"/>
      <c r="AG176" s="161"/>
      <c r="AH176" s="137"/>
      <c r="AI176" s="164" t="str">
        <f t="shared" si="22"/>
        <v/>
      </c>
      <c r="AJ176" s="164" t="str">
        <f>IF(AND(OpenPendingCases[[#This Row],[Sale Status	]]="Open Sale",OpenPendingCases[[#This Row],[Potential Same Month]]="High"),TEXT(OpenPendingCases[[#This Row],[Request Entry Date]], "[$-en-us]mmmm"),"")</f>
        <v/>
      </c>
      <c r="AK176" s="165" t="str">
        <f>IFERROR(VALUE(SUBSTITUTE(OpenPendingCases[[#This Row],[Price]]," AED","")),"")</f>
        <v/>
      </c>
      <c r="AL176" s="165" t="str">
        <f>IFERROR(VALUE(LEFT(OpenPendingCases[[#This Row],[Price]],FIND(" ",OpenPendingCases[[#This Row],[Price]])-1)),"")</f>
        <v/>
      </c>
      <c r="AM176" s="165" t="str">
        <f>IFERROR(VALUE(_xlfn.TEXTBEFORE(OpenPendingCases[[#This Row],[Price]]," AED")),"")</f>
        <v/>
      </c>
      <c r="AN176" s="165"/>
    </row>
    <row r="177" spans="3:40" ht="18" hidden="1" x14ac:dyDescent="0.35">
      <c r="C177" s="134"/>
      <c r="D177" s="137" t="str">
        <f>IF($U177="Open Sale", IF(MAX($D$4:D176)+1=0, "", MAX($D$4:D176)+1), "")</f>
        <v/>
      </c>
      <c r="E177" s="137" t="str">
        <f>IF($U177="Pending Allocation", IF(MAX($E$4:E176)+1=0, "", MAX($E$4:E176)+1), "")</f>
        <v/>
      </c>
      <c r="F177" s="137"/>
      <c r="G177" s="137"/>
      <c r="H177" s="150"/>
      <c r="I177" s="150"/>
      <c r="J177" s="68" t="str">
        <f>IF(OpenPendingCases[[#This Row],[Timepiece Reference ]]="", "", IF(_xlfn.XLOOKUP(OpenPendingCases[[#This Row],[Timepiece Reference ]], Table1[[Timepiece Reference ]], Table1[CRC STOCK], "Not Found")="YES", "CRC Stock", "Boutique Stock"))</f>
        <v/>
      </c>
      <c r="K177" s="137" t="str">
        <f>IF(OpenPendingCases[[#This Row],[Timepiece Reference ]]="", "", IF(_xlfn.XLOOKUP(OpenPendingCases[[#This Row],[Timepiece Reference ]], Table1[[Timepiece Reference ]], Table1[CRC STOCK], "Not Found")="YES", "CRC Stock", "Boutique Stock"))</f>
        <v/>
      </c>
      <c r="L177" s="140"/>
      <c r="M177" s="141"/>
      <c r="N177" s="137"/>
      <c r="O177" s="134"/>
      <c r="P177" s="94" t="str">
        <f>IFERROR(VLOOKUP(TRIM(O177), Collection!$B$2:$D$1001, 2, FALSE), "")</f>
        <v/>
      </c>
      <c r="Q177" s="190" t="str">
        <f>IFERROR(VLOOKUP(TRIM(O177), Collection!$B$2:$D$1001, 3, FALSE), "")</f>
        <v/>
      </c>
      <c r="R177" s="153" t="str">
        <f t="shared" si="16"/>
        <v/>
      </c>
      <c r="S177" s="151"/>
      <c r="T177" s="158"/>
      <c r="U177" s="137"/>
      <c r="V177" s="137"/>
      <c r="W177" s="156" t="str">
        <f t="shared" si="20"/>
        <v/>
      </c>
      <c r="X177" s="157"/>
      <c r="Y177" s="158"/>
      <c r="Z177" s="158"/>
      <c r="AA177" s="137" t="str">
        <f t="shared" ca="1" si="21"/>
        <v/>
      </c>
      <c r="AB177" s="137" t="str">
        <f t="shared" ca="1" si="17"/>
        <v/>
      </c>
      <c r="AC177" s="160" t="str">
        <f t="shared" ca="1" si="18"/>
        <v/>
      </c>
      <c r="AD177" s="159" t="str">
        <f t="shared" ca="1" si="19"/>
        <v/>
      </c>
      <c r="AE177" s="161"/>
      <c r="AF177" s="161"/>
      <c r="AG177" s="161"/>
      <c r="AH177" s="137"/>
      <c r="AI177" s="164" t="str">
        <f t="shared" si="22"/>
        <v/>
      </c>
      <c r="AJ177" s="164" t="str">
        <f>IF(AND(OpenPendingCases[[#This Row],[Sale Status	]]="Open Sale",OpenPendingCases[[#This Row],[Potential Same Month]]="High"),TEXT(OpenPendingCases[[#This Row],[Request Entry Date]], "[$-en-us]mmmm"),"")</f>
        <v/>
      </c>
      <c r="AK177" s="165" t="str">
        <f>IFERROR(VALUE(SUBSTITUTE(OpenPendingCases[[#This Row],[Price]]," AED","")),"")</f>
        <v/>
      </c>
      <c r="AL177" s="165" t="str">
        <f>IFERROR(VALUE(LEFT(OpenPendingCases[[#This Row],[Price]],FIND(" ",OpenPendingCases[[#This Row],[Price]])-1)),"")</f>
        <v/>
      </c>
      <c r="AM177" s="165" t="str">
        <f>IFERROR(VALUE(_xlfn.TEXTBEFORE(OpenPendingCases[[#This Row],[Price]]," AED")),"")</f>
        <v/>
      </c>
      <c r="AN177" s="165"/>
    </row>
    <row r="178" spans="3:40" ht="18" hidden="1" x14ac:dyDescent="0.35">
      <c r="C178" s="134"/>
      <c r="D178" s="137" t="str">
        <f>IF($U178="Open Sale", IF(MAX($D$4:D177)+1=0, "", MAX($D$4:D177)+1), "")</f>
        <v/>
      </c>
      <c r="E178" s="137" t="str">
        <f>IF($U178="Pending Allocation", IF(MAX($E$4:E177)+1=0, "", MAX($E$4:E177)+1), "")</f>
        <v/>
      </c>
      <c r="F178" s="137"/>
      <c r="G178" s="137"/>
      <c r="H178" s="150"/>
      <c r="I178" s="150"/>
      <c r="J178" s="68" t="str">
        <f>IF(OpenPendingCases[[#This Row],[Timepiece Reference ]]="", "", IF(_xlfn.XLOOKUP(OpenPendingCases[[#This Row],[Timepiece Reference ]], Table1[[Timepiece Reference ]], Table1[CRC STOCK], "Not Found")="YES", "CRC Stock", "Boutique Stock"))</f>
        <v/>
      </c>
      <c r="K178" s="137" t="str">
        <f>IF(OpenPendingCases[[#This Row],[Timepiece Reference ]]="", "", IF(_xlfn.XLOOKUP(OpenPendingCases[[#This Row],[Timepiece Reference ]], Table1[[Timepiece Reference ]], Table1[CRC STOCK], "Not Found")="YES", "CRC Stock", "Boutique Stock"))</f>
        <v/>
      </c>
      <c r="L178" s="140"/>
      <c r="M178" s="141"/>
      <c r="N178" s="137"/>
      <c r="O178" s="134"/>
      <c r="P178" s="94" t="str">
        <f>IFERROR(VLOOKUP(TRIM(O178), Collection!$B$2:$D$1001, 2, FALSE), "")</f>
        <v/>
      </c>
      <c r="Q178" s="190" t="str">
        <f>IFERROR(VLOOKUP(TRIM(O178), Collection!$B$2:$D$1001, 3, FALSE), "")</f>
        <v/>
      </c>
      <c r="R178" s="153" t="str">
        <f t="shared" si="16"/>
        <v/>
      </c>
      <c r="S178" s="151"/>
      <c r="T178" s="158"/>
      <c r="U178" s="137"/>
      <c r="V178" s="137"/>
      <c r="W178" s="156" t="str">
        <f t="shared" si="20"/>
        <v/>
      </c>
      <c r="X178" s="157"/>
      <c r="Y178" s="158"/>
      <c r="Z178" s="158"/>
      <c r="AA178" s="137" t="str">
        <f t="shared" ca="1" si="21"/>
        <v/>
      </c>
      <c r="AB178" s="137" t="str">
        <f t="shared" ca="1" si="17"/>
        <v/>
      </c>
      <c r="AC178" s="160" t="str">
        <f t="shared" ca="1" si="18"/>
        <v/>
      </c>
      <c r="AD178" s="159" t="str">
        <f t="shared" ca="1" si="19"/>
        <v/>
      </c>
      <c r="AE178" s="161"/>
      <c r="AF178" s="161"/>
      <c r="AG178" s="161"/>
      <c r="AH178" s="137"/>
      <c r="AI178" s="164" t="str">
        <f t="shared" si="22"/>
        <v/>
      </c>
      <c r="AJ178" s="164" t="str">
        <f>IF(AND(OpenPendingCases[[#This Row],[Sale Status	]]="Open Sale",OpenPendingCases[[#This Row],[Potential Same Month]]="High"),TEXT(OpenPendingCases[[#This Row],[Request Entry Date]], "[$-en-us]mmmm"),"")</f>
        <v/>
      </c>
      <c r="AK178" s="165" t="str">
        <f>IFERROR(VALUE(SUBSTITUTE(OpenPendingCases[[#This Row],[Price]]," AED","")),"")</f>
        <v/>
      </c>
      <c r="AL178" s="165" t="str">
        <f>IFERROR(VALUE(LEFT(OpenPendingCases[[#This Row],[Price]],FIND(" ",OpenPendingCases[[#This Row],[Price]])-1)),"")</f>
        <v/>
      </c>
      <c r="AM178" s="165" t="str">
        <f>IFERROR(VALUE(_xlfn.TEXTBEFORE(OpenPendingCases[[#This Row],[Price]]," AED")),"")</f>
        <v/>
      </c>
      <c r="AN178" s="165"/>
    </row>
    <row r="179" spans="3:40" ht="18" hidden="1" x14ac:dyDescent="0.35">
      <c r="C179" s="134"/>
      <c r="D179" s="137" t="str">
        <f>IF($U179="Open Sale", IF(MAX($D$4:D178)+1=0, "", MAX($D$4:D178)+1), "")</f>
        <v/>
      </c>
      <c r="E179" s="137" t="str">
        <f>IF($U179="Pending Allocation", IF(MAX($E$4:E178)+1=0, "", MAX($E$4:E178)+1), "")</f>
        <v/>
      </c>
      <c r="F179" s="137"/>
      <c r="G179" s="137"/>
      <c r="H179" s="150"/>
      <c r="I179" s="150"/>
      <c r="J179" s="68" t="str">
        <f>IF(OpenPendingCases[[#This Row],[Timepiece Reference ]]="", "", IF(_xlfn.XLOOKUP(OpenPendingCases[[#This Row],[Timepiece Reference ]], Table1[[Timepiece Reference ]], Table1[CRC STOCK], "Not Found")="YES", "CRC Stock", "Boutique Stock"))</f>
        <v/>
      </c>
      <c r="K179" s="137" t="str">
        <f>IF(OpenPendingCases[[#This Row],[Timepiece Reference ]]="", "", IF(_xlfn.XLOOKUP(OpenPendingCases[[#This Row],[Timepiece Reference ]], Table1[[Timepiece Reference ]], Table1[CRC STOCK], "Not Found")="YES", "CRC Stock", "Boutique Stock"))</f>
        <v/>
      </c>
      <c r="L179" s="140"/>
      <c r="M179" s="141"/>
      <c r="N179" s="137"/>
      <c r="O179" s="134"/>
      <c r="P179" s="94" t="str">
        <f>IFERROR(VLOOKUP(TRIM(O179), Collection!$B$2:$D$1001, 2, FALSE), "")</f>
        <v/>
      </c>
      <c r="Q179" s="190" t="str">
        <f>IFERROR(VLOOKUP(TRIM(O179), Collection!$B$2:$D$1001, 3, FALSE), "")</f>
        <v/>
      </c>
      <c r="R179" s="153" t="str">
        <f t="shared" si="16"/>
        <v/>
      </c>
      <c r="S179" s="151"/>
      <c r="T179" s="158"/>
      <c r="U179" s="137"/>
      <c r="V179" s="137"/>
      <c r="W179" s="156" t="str">
        <f t="shared" si="20"/>
        <v/>
      </c>
      <c r="X179" s="157"/>
      <c r="Y179" s="158"/>
      <c r="Z179" s="158"/>
      <c r="AA179" s="137" t="str">
        <f t="shared" ca="1" si="21"/>
        <v/>
      </c>
      <c r="AB179" s="137" t="str">
        <f t="shared" ca="1" si="17"/>
        <v/>
      </c>
      <c r="AC179" s="160" t="str">
        <f t="shared" ca="1" si="18"/>
        <v/>
      </c>
      <c r="AD179" s="159" t="str">
        <f t="shared" ca="1" si="19"/>
        <v/>
      </c>
      <c r="AE179" s="161"/>
      <c r="AF179" s="161"/>
      <c r="AG179" s="161"/>
      <c r="AH179" s="137"/>
      <c r="AI179" s="164" t="str">
        <f t="shared" si="22"/>
        <v/>
      </c>
      <c r="AJ179" s="164" t="str">
        <f>IF(AND(OpenPendingCases[[#This Row],[Sale Status	]]="Open Sale",OpenPendingCases[[#This Row],[Potential Same Month]]="High"),TEXT(OpenPendingCases[[#This Row],[Request Entry Date]], "[$-en-us]mmmm"),"")</f>
        <v/>
      </c>
      <c r="AK179" s="165" t="str">
        <f>IFERROR(VALUE(SUBSTITUTE(OpenPendingCases[[#This Row],[Price]]," AED","")),"")</f>
        <v/>
      </c>
      <c r="AL179" s="165" t="str">
        <f>IFERROR(VALUE(LEFT(OpenPendingCases[[#This Row],[Price]],FIND(" ",OpenPendingCases[[#This Row],[Price]])-1)),"")</f>
        <v/>
      </c>
      <c r="AM179" s="165" t="str">
        <f>IFERROR(VALUE(_xlfn.TEXTBEFORE(OpenPendingCases[[#This Row],[Price]]," AED")),"")</f>
        <v/>
      </c>
      <c r="AN179" s="165"/>
    </row>
    <row r="180" spans="3:40" ht="18" hidden="1" x14ac:dyDescent="0.35">
      <c r="C180" s="134"/>
      <c r="D180" s="137" t="str">
        <f>IF($U180="Open Sale", IF(MAX($D$4:D179)+1=0, "", MAX($D$4:D179)+1), "")</f>
        <v/>
      </c>
      <c r="E180" s="137" t="str">
        <f>IF($U180="Pending Allocation", IF(MAX($E$4:E179)+1=0, "", MAX($E$4:E179)+1), "")</f>
        <v/>
      </c>
      <c r="F180" s="137"/>
      <c r="G180" s="137"/>
      <c r="H180" s="150"/>
      <c r="I180" s="150"/>
      <c r="J180" s="68" t="str">
        <f>IF(OpenPendingCases[[#This Row],[Timepiece Reference ]]="", "", IF(_xlfn.XLOOKUP(OpenPendingCases[[#This Row],[Timepiece Reference ]], Table1[[Timepiece Reference ]], Table1[CRC STOCK], "Not Found")="YES", "CRC Stock", "Boutique Stock"))</f>
        <v/>
      </c>
      <c r="K180" s="137" t="str">
        <f>IF(OpenPendingCases[[#This Row],[Timepiece Reference ]]="", "", IF(_xlfn.XLOOKUP(OpenPendingCases[[#This Row],[Timepiece Reference ]], Table1[[Timepiece Reference ]], Table1[CRC STOCK], "Not Found")="YES", "CRC Stock", "Boutique Stock"))</f>
        <v/>
      </c>
      <c r="L180" s="140"/>
      <c r="M180" s="141"/>
      <c r="N180" s="137"/>
      <c r="O180" s="134"/>
      <c r="P180" s="94" t="str">
        <f>IFERROR(VLOOKUP(TRIM(O180), Collection!$B$2:$D$1001, 2, FALSE), "")</f>
        <v/>
      </c>
      <c r="Q180" s="190" t="str">
        <f>IFERROR(VLOOKUP(TRIM(O180), Collection!$B$2:$D$1001, 3, FALSE), "")</f>
        <v/>
      </c>
      <c r="R180" s="153" t="str">
        <f t="shared" si="16"/>
        <v/>
      </c>
      <c r="S180" s="151"/>
      <c r="T180" s="158"/>
      <c r="U180" s="137"/>
      <c r="V180" s="137"/>
      <c r="W180" s="156" t="str">
        <f t="shared" si="20"/>
        <v/>
      </c>
      <c r="X180" s="157"/>
      <c r="Y180" s="158"/>
      <c r="Z180" s="158"/>
      <c r="AA180" s="137" t="str">
        <f t="shared" ca="1" si="21"/>
        <v/>
      </c>
      <c r="AB180" s="137" t="str">
        <f t="shared" ca="1" si="17"/>
        <v/>
      </c>
      <c r="AC180" s="160" t="str">
        <f t="shared" ca="1" si="18"/>
        <v/>
      </c>
      <c r="AD180" s="159" t="str">
        <f t="shared" ca="1" si="19"/>
        <v/>
      </c>
      <c r="AE180" s="161"/>
      <c r="AF180" s="161"/>
      <c r="AG180" s="161"/>
      <c r="AH180" s="137"/>
      <c r="AI180" s="164" t="str">
        <f t="shared" si="22"/>
        <v/>
      </c>
      <c r="AJ180" s="164" t="str">
        <f>IF(AND(OpenPendingCases[[#This Row],[Sale Status	]]="Open Sale",OpenPendingCases[[#This Row],[Potential Same Month]]="High"),TEXT(OpenPendingCases[[#This Row],[Request Entry Date]], "[$-en-us]mmmm"),"")</f>
        <v/>
      </c>
      <c r="AK180" s="165" t="str">
        <f>IFERROR(VALUE(SUBSTITUTE(OpenPendingCases[[#This Row],[Price]]," AED","")),"")</f>
        <v/>
      </c>
      <c r="AL180" s="165" t="str">
        <f>IFERROR(VALUE(LEFT(OpenPendingCases[[#This Row],[Price]],FIND(" ",OpenPendingCases[[#This Row],[Price]])-1)),"")</f>
        <v/>
      </c>
      <c r="AM180" s="165" t="str">
        <f>IFERROR(VALUE(_xlfn.TEXTBEFORE(OpenPendingCases[[#This Row],[Price]]," AED")),"")</f>
        <v/>
      </c>
      <c r="AN180" s="165"/>
    </row>
    <row r="181" spans="3:40" ht="18" hidden="1" x14ac:dyDescent="0.35">
      <c r="C181" s="134"/>
      <c r="D181" s="137" t="str">
        <f>IF($U181="Open Sale", IF(MAX($D$4:D180)+1=0, "", MAX($D$4:D180)+1), "")</f>
        <v/>
      </c>
      <c r="E181" s="137" t="str">
        <f>IF($U181="Pending Allocation", IF(MAX($E$4:E180)+1=0, "", MAX($E$4:E180)+1), "")</f>
        <v/>
      </c>
      <c r="F181" s="137"/>
      <c r="G181" s="137"/>
      <c r="H181" s="150"/>
      <c r="I181" s="150"/>
      <c r="J181" s="68" t="str">
        <f>IF(OpenPendingCases[[#This Row],[Timepiece Reference ]]="", "", IF(_xlfn.XLOOKUP(OpenPendingCases[[#This Row],[Timepiece Reference ]], Table1[[Timepiece Reference ]], Table1[CRC STOCK], "Not Found")="YES", "CRC Stock", "Boutique Stock"))</f>
        <v/>
      </c>
      <c r="K181" s="137" t="str">
        <f>IF(OpenPendingCases[[#This Row],[Timepiece Reference ]]="", "", IF(_xlfn.XLOOKUP(OpenPendingCases[[#This Row],[Timepiece Reference ]], Table1[[Timepiece Reference ]], Table1[CRC STOCK], "Not Found")="YES", "CRC Stock", "Boutique Stock"))</f>
        <v/>
      </c>
      <c r="L181" s="140"/>
      <c r="M181" s="141"/>
      <c r="N181" s="137"/>
      <c r="O181" s="134"/>
      <c r="P181" s="94" t="str">
        <f>IFERROR(VLOOKUP(TRIM(O181), Collection!$B$2:$D$1001, 2, FALSE), "")</f>
        <v/>
      </c>
      <c r="Q181" s="190" t="str">
        <f>IFERROR(VLOOKUP(TRIM(O181), Collection!$B$2:$D$1001, 3, FALSE), "")</f>
        <v/>
      </c>
      <c r="R181" s="153" t="str">
        <f t="shared" si="16"/>
        <v/>
      </c>
      <c r="S181" s="151"/>
      <c r="T181" s="158"/>
      <c r="U181" s="137"/>
      <c r="V181" s="137"/>
      <c r="W181" s="156" t="str">
        <f t="shared" si="20"/>
        <v/>
      </c>
      <c r="X181" s="157"/>
      <c r="Y181" s="158"/>
      <c r="Z181" s="158"/>
      <c r="AA181" s="137" t="str">
        <f t="shared" ca="1" si="21"/>
        <v/>
      </c>
      <c r="AB181" s="137" t="str">
        <f t="shared" ca="1" si="17"/>
        <v/>
      </c>
      <c r="AC181" s="160" t="str">
        <f t="shared" ca="1" si="18"/>
        <v/>
      </c>
      <c r="AD181" s="159" t="str">
        <f t="shared" ca="1" si="19"/>
        <v/>
      </c>
      <c r="AE181" s="161"/>
      <c r="AF181" s="161"/>
      <c r="AG181" s="161"/>
      <c r="AH181" s="137"/>
      <c r="AI181" s="164" t="str">
        <f t="shared" si="22"/>
        <v/>
      </c>
      <c r="AJ181" s="164" t="str">
        <f>IF(AND(OpenPendingCases[[#This Row],[Sale Status	]]="Open Sale",OpenPendingCases[[#This Row],[Potential Same Month]]="High"),TEXT(OpenPendingCases[[#This Row],[Request Entry Date]], "[$-en-us]mmmm"),"")</f>
        <v/>
      </c>
      <c r="AK181" s="165" t="str">
        <f>IFERROR(VALUE(SUBSTITUTE(OpenPendingCases[[#This Row],[Price]]," AED","")),"")</f>
        <v/>
      </c>
      <c r="AL181" s="165" t="str">
        <f>IFERROR(VALUE(LEFT(OpenPendingCases[[#This Row],[Price]],FIND(" ",OpenPendingCases[[#This Row],[Price]])-1)),"")</f>
        <v/>
      </c>
      <c r="AM181" s="165" t="str">
        <f>IFERROR(VALUE(_xlfn.TEXTBEFORE(OpenPendingCases[[#This Row],[Price]]," AED")),"")</f>
        <v/>
      </c>
      <c r="AN181" s="165"/>
    </row>
    <row r="182" spans="3:40" ht="18" hidden="1" x14ac:dyDescent="0.35">
      <c r="C182" s="134"/>
      <c r="D182" s="137" t="str">
        <f>IF($U182="Open Sale", IF(MAX($D$4:D181)+1=0, "", MAX($D$4:D181)+1), "")</f>
        <v/>
      </c>
      <c r="E182" s="137" t="str">
        <f>IF($U182="Pending Allocation", IF(MAX($E$4:E181)+1=0, "", MAX($E$4:E181)+1), "")</f>
        <v/>
      </c>
      <c r="F182" s="137"/>
      <c r="G182" s="137"/>
      <c r="H182" s="150"/>
      <c r="I182" s="150"/>
      <c r="J182" s="68" t="str">
        <f>IF(OpenPendingCases[[#This Row],[Timepiece Reference ]]="", "", IF(_xlfn.XLOOKUP(OpenPendingCases[[#This Row],[Timepiece Reference ]], Table1[[Timepiece Reference ]], Table1[CRC STOCK], "Not Found")="YES", "CRC Stock", "Boutique Stock"))</f>
        <v/>
      </c>
      <c r="K182" s="137" t="str">
        <f>IF(OpenPendingCases[[#This Row],[Timepiece Reference ]]="", "", IF(_xlfn.XLOOKUP(OpenPendingCases[[#This Row],[Timepiece Reference ]], Table1[[Timepiece Reference ]], Table1[CRC STOCK], "Not Found")="YES", "CRC Stock", "Boutique Stock"))</f>
        <v/>
      </c>
      <c r="L182" s="140"/>
      <c r="M182" s="141"/>
      <c r="N182" s="137"/>
      <c r="O182" s="134"/>
      <c r="P182" s="94" t="str">
        <f>IFERROR(VLOOKUP(TRIM(O182), Collection!$B$2:$D$1001, 2, FALSE), "")</f>
        <v/>
      </c>
      <c r="Q182" s="190" t="str">
        <f>IFERROR(VLOOKUP(TRIM(O182), Collection!$B$2:$D$1001, 3, FALSE), "")</f>
        <v/>
      </c>
      <c r="R182" s="153" t="str">
        <f t="shared" si="16"/>
        <v/>
      </c>
      <c r="S182" s="151"/>
      <c r="T182" s="158"/>
      <c r="U182" s="137"/>
      <c r="V182" s="137"/>
      <c r="W182" s="156" t="str">
        <f t="shared" si="20"/>
        <v/>
      </c>
      <c r="X182" s="157"/>
      <c r="Y182" s="158"/>
      <c r="Z182" s="158"/>
      <c r="AA182" s="137" t="str">
        <f t="shared" ca="1" si="21"/>
        <v/>
      </c>
      <c r="AB182" s="137" t="str">
        <f t="shared" ca="1" si="17"/>
        <v/>
      </c>
      <c r="AC182" s="160" t="str">
        <f t="shared" ca="1" si="18"/>
        <v/>
      </c>
      <c r="AD182" s="159" t="str">
        <f t="shared" ca="1" si="19"/>
        <v/>
      </c>
      <c r="AE182" s="161"/>
      <c r="AF182" s="161"/>
      <c r="AG182" s="161"/>
      <c r="AH182" s="137"/>
      <c r="AI182" s="164" t="str">
        <f t="shared" si="22"/>
        <v/>
      </c>
      <c r="AJ182" s="164" t="str">
        <f>IF(AND(OpenPendingCases[[#This Row],[Sale Status	]]="Open Sale",OpenPendingCases[[#This Row],[Potential Same Month]]="High"),TEXT(OpenPendingCases[[#This Row],[Request Entry Date]], "[$-en-us]mmmm"),"")</f>
        <v/>
      </c>
      <c r="AK182" s="165" t="str">
        <f>IFERROR(VALUE(SUBSTITUTE(OpenPendingCases[[#This Row],[Price]]," AED","")),"")</f>
        <v/>
      </c>
      <c r="AL182" s="165" t="str">
        <f>IFERROR(VALUE(LEFT(OpenPendingCases[[#This Row],[Price]],FIND(" ",OpenPendingCases[[#This Row],[Price]])-1)),"")</f>
        <v/>
      </c>
      <c r="AM182" s="165" t="str">
        <f>IFERROR(VALUE(_xlfn.TEXTBEFORE(OpenPendingCases[[#This Row],[Price]]," AED")),"")</f>
        <v/>
      </c>
      <c r="AN182" s="165"/>
    </row>
    <row r="183" spans="3:40" ht="18" hidden="1" x14ac:dyDescent="0.35">
      <c r="C183" s="134"/>
      <c r="D183" s="137" t="str">
        <f>IF($U183="Open Sale", IF(MAX($D$4:D182)+1=0, "", MAX($D$4:D182)+1), "")</f>
        <v/>
      </c>
      <c r="E183" s="137" t="str">
        <f>IF($U183="Pending Allocation", IF(MAX($E$4:E182)+1=0, "", MAX($E$4:E182)+1), "")</f>
        <v/>
      </c>
      <c r="F183" s="137"/>
      <c r="G183" s="137"/>
      <c r="H183" s="150"/>
      <c r="I183" s="150"/>
      <c r="J183" s="68" t="str">
        <f>IF(OpenPendingCases[[#This Row],[Timepiece Reference ]]="", "", IF(_xlfn.XLOOKUP(OpenPendingCases[[#This Row],[Timepiece Reference ]], Table1[[Timepiece Reference ]], Table1[CRC STOCK], "Not Found")="YES", "CRC Stock", "Boutique Stock"))</f>
        <v/>
      </c>
      <c r="K183" s="137" t="str">
        <f>IF(OpenPendingCases[[#This Row],[Timepiece Reference ]]="", "", IF(_xlfn.XLOOKUP(OpenPendingCases[[#This Row],[Timepiece Reference ]], Table1[[Timepiece Reference ]], Table1[CRC STOCK], "Not Found")="YES", "CRC Stock", "Boutique Stock"))</f>
        <v/>
      </c>
      <c r="L183" s="140"/>
      <c r="M183" s="141"/>
      <c r="N183" s="137"/>
      <c r="O183" s="134"/>
      <c r="P183" s="94" t="str">
        <f>IFERROR(VLOOKUP(TRIM(O183), Collection!$B$2:$D$1001, 2, FALSE), "")</f>
        <v/>
      </c>
      <c r="Q183" s="190" t="str">
        <f>IFERROR(VLOOKUP(TRIM(O183), Collection!$B$2:$D$1001, 3, FALSE), "")</f>
        <v/>
      </c>
      <c r="R183" s="153" t="str">
        <f t="shared" si="16"/>
        <v/>
      </c>
      <c r="S183" s="151"/>
      <c r="T183" s="158"/>
      <c r="U183" s="137"/>
      <c r="V183" s="137"/>
      <c r="W183" s="156" t="str">
        <f t="shared" si="20"/>
        <v/>
      </c>
      <c r="X183" s="157"/>
      <c r="Y183" s="158"/>
      <c r="Z183" s="158"/>
      <c r="AA183" s="137" t="str">
        <f t="shared" ca="1" si="21"/>
        <v/>
      </c>
      <c r="AB183" s="137" t="str">
        <f t="shared" ca="1" si="17"/>
        <v/>
      </c>
      <c r="AC183" s="160" t="str">
        <f t="shared" ca="1" si="18"/>
        <v/>
      </c>
      <c r="AD183" s="159" t="str">
        <f t="shared" ca="1" si="19"/>
        <v/>
      </c>
      <c r="AE183" s="161"/>
      <c r="AF183" s="161"/>
      <c r="AG183" s="161"/>
      <c r="AH183" s="137"/>
      <c r="AI183" s="164" t="str">
        <f t="shared" si="22"/>
        <v/>
      </c>
      <c r="AJ183" s="164" t="str">
        <f>IF(AND(OpenPendingCases[[#This Row],[Sale Status	]]="Open Sale",OpenPendingCases[[#This Row],[Potential Same Month]]="High"),TEXT(OpenPendingCases[[#This Row],[Request Entry Date]], "[$-en-us]mmmm"),"")</f>
        <v/>
      </c>
      <c r="AK183" s="165" t="str">
        <f>IFERROR(VALUE(SUBSTITUTE(OpenPendingCases[[#This Row],[Price]]," AED","")),"")</f>
        <v/>
      </c>
      <c r="AL183" s="165" t="str">
        <f>IFERROR(VALUE(LEFT(OpenPendingCases[[#This Row],[Price]],FIND(" ",OpenPendingCases[[#This Row],[Price]])-1)),"")</f>
        <v/>
      </c>
      <c r="AM183" s="165" t="str">
        <f>IFERROR(VALUE(_xlfn.TEXTBEFORE(OpenPendingCases[[#This Row],[Price]]," AED")),"")</f>
        <v/>
      </c>
      <c r="AN183" s="165"/>
    </row>
    <row r="184" spans="3:40" ht="18" hidden="1" x14ac:dyDescent="0.35">
      <c r="C184" s="134"/>
      <c r="D184" s="137" t="str">
        <f>IF($U184="Open Sale", IF(MAX($D$4:D183)+1=0, "", MAX($D$4:D183)+1), "")</f>
        <v/>
      </c>
      <c r="E184" s="137" t="str">
        <f>IF($U184="Pending Allocation", IF(MAX($E$4:E183)+1=0, "", MAX($E$4:E183)+1), "")</f>
        <v/>
      </c>
      <c r="F184" s="137"/>
      <c r="G184" s="137"/>
      <c r="H184" s="150"/>
      <c r="I184" s="150"/>
      <c r="J184" s="68" t="str">
        <f>IF(OpenPendingCases[[#This Row],[Timepiece Reference ]]="", "", IF(_xlfn.XLOOKUP(OpenPendingCases[[#This Row],[Timepiece Reference ]], Table1[[Timepiece Reference ]], Table1[CRC STOCK], "Not Found")="YES", "CRC Stock", "Boutique Stock"))</f>
        <v/>
      </c>
      <c r="K184" s="137" t="str">
        <f>IF(OpenPendingCases[[#This Row],[Timepiece Reference ]]="", "", IF(_xlfn.XLOOKUP(OpenPendingCases[[#This Row],[Timepiece Reference ]], Table1[[Timepiece Reference ]], Table1[CRC STOCK], "Not Found")="YES", "CRC Stock", "Boutique Stock"))</f>
        <v/>
      </c>
      <c r="L184" s="140"/>
      <c r="M184" s="141"/>
      <c r="N184" s="137"/>
      <c r="O184" s="134"/>
      <c r="P184" s="94" t="str">
        <f>IFERROR(VLOOKUP(TRIM(O184), Collection!$B$2:$D$1001, 2, FALSE), "")</f>
        <v/>
      </c>
      <c r="Q184" s="190" t="str">
        <f>IFERROR(VLOOKUP(TRIM(O184), Collection!$B$2:$D$1001, 3, FALSE), "")</f>
        <v/>
      </c>
      <c r="R184" s="153" t="str">
        <f t="shared" si="16"/>
        <v/>
      </c>
      <c r="S184" s="151"/>
      <c r="T184" s="158"/>
      <c r="U184" s="137"/>
      <c r="V184" s="137"/>
      <c r="W184" s="156" t="str">
        <f t="shared" si="20"/>
        <v/>
      </c>
      <c r="X184" s="157"/>
      <c r="Y184" s="158"/>
      <c r="Z184" s="158"/>
      <c r="AA184" s="137" t="str">
        <f t="shared" ca="1" si="21"/>
        <v/>
      </c>
      <c r="AB184" s="137" t="str">
        <f t="shared" ca="1" si="17"/>
        <v/>
      </c>
      <c r="AC184" s="160" t="str">
        <f t="shared" ca="1" si="18"/>
        <v/>
      </c>
      <c r="AD184" s="159" t="str">
        <f t="shared" ca="1" si="19"/>
        <v/>
      </c>
      <c r="AE184" s="161"/>
      <c r="AF184" s="161"/>
      <c r="AG184" s="161"/>
      <c r="AH184" s="137"/>
      <c r="AI184" s="164" t="str">
        <f t="shared" si="22"/>
        <v/>
      </c>
      <c r="AJ184" s="164" t="str">
        <f>IF(AND(OpenPendingCases[[#This Row],[Sale Status	]]="Open Sale",OpenPendingCases[[#This Row],[Potential Same Month]]="High"),TEXT(OpenPendingCases[[#This Row],[Request Entry Date]], "[$-en-us]mmmm"),"")</f>
        <v/>
      </c>
      <c r="AK184" s="165" t="str">
        <f>IFERROR(VALUE(SUBSTITUTE(OpenPendingCases[[#This Row],[Price]]," AED","")),"")</f>
        <v/>
      </c>
      <c r="AL184" s="165" t="str">
        <f>IFERROR(VALUE(LEFT(OpenPendingCases[[#This Row],[Price]],FIND(" ",OpenPendingCases[[#This Row],[Price]])-1)),"")</f>
        <v/>
      </c>
      <c r="AM184" s="165" t="str">
        <f>IFERROR(VALUE(_xlfn.TEXTBEFORE(OpenPendingCases[[#This Row],[Price]]," AED")),"")</f>
        <v/>
      </c>
      <c r="AN184" s="165"/>
    </row>
    <row r="185" spans="3:40" ht="18" hidden="1" x14ac:dyDescent="0.35">
      <c r="C185" s="134"/>
      <c r="D185" s="137" t="str">
        <f>IF($U185="Open Sale", IF(MAX($D$4:D184)+1=0, "", MAX($D$4:D184)+1), "")</f>
        <v/>
      </c>
      <c r="E185" s="137" t="str">
        <f>IF($U185="Pending Allocation", IF(MAX($E$4:E184)+1=0, "", MAX($E$4:E184)+1), "")</f>
        <v/>
      </c>
      <c r="F185" s="137"/>
      <c r="G185" s="137"/>
      <c r="H185" s="150"/>
      <c r="I185" s="150"/>
      <c r="J185" s="68" t="str">
        <f>IF(OpenPendingCases[[#This Row],[Timepiece Reference ]]="", "", IF(_xlfn.XLOOKUP(OpenPendingCases[[#This Row],[Timepiece Reference ]], Table1[[Timepiece Reference ]], Table1[CRC STOCK], "Not Found")="YES", "CRC Stock", "Boutique Stock"))</f>
        <v/>
      </c>
      <c r="K185" s="137" t="str">
        <f>IF(OpenPendingCases[[#This Row],[Timepiece Reference ]]="", "", IF(_xlfn.XLOOKUP(OpenPendingCases[[#This Row],[Timepiece Reference ]], Table1[[Timepiece Reference ]], Table1[CRC STOCK], "Not Found")="YES", "CRC Stock", "Boutique Stock"))</f>
        <v/>
      </c>
      <c r="L185" s="140"/>
      <c r="M185" s="141"/>
      <c r="N185" s="137"/>
      <c r="O185" s="134"/>
      <c r="P185" s="94" t="str">
        <f>IFERROR(VLOOKUP(TRIM(O185), Collection!$B$2:$D$1001, 2, FALSE), "")</f>
        <v/>
      </c>
      <c r="Q185" s="190" t="str">
        <f>IFERROR(VLOOKUP(TRIM(O185), Collection!$B$2:$D$1001, 3, FALSE), "")</f>
        <v/>
      </c>
      <c r="R185" s="153" t="str">
        <f t="shared" si="16"/>
        <v/>
      </c>
      <c r="S185" s="151"/>
      <c r="T185" s="158"/>
      <c r="U185" s="137"/>
      <c r="V185" s="137"/>
      <c r="W185" s="156" t="str">
        <f t="shared" si="20"/>
        <v/>
      </c>
      <c r="X185" s="157"/>
      <c r="Y185" s="158"/>
      <c r="Z185" s="158"/>
      <c r="AA185" s="137" t="str">
        <f t="shared" ca="1" si="21"/>
        <v/>
      </c>
      <c r="AB185" s="137" t="str">
        <f t="shared" ca="1" si="17"/>
        <v/>
      </c>
      <c r="AC185" s="160" t="str">
        <f t="shared" ca="1" si="18"/>
        <v/>
      </c>
      <c r="AD185" s="159" t="str">
        <f t="shared" ca="1" si="19"/>
        <v/>
      </c>
      <c r="AE185" s="161"/>
      <c r="AF185" s="161"/>
      <c r="AG185" s="161"/>
      <c r="AH185" s="137"/>
      <c r="AI185" s="164" t="str">
        <f t="shared" si="22"/>
        <v/>
      </c>
      <c r="AJ185" s="164" t="str">
        <f>IF(AND(OpenPendingCases[[#This Row],[Sale Status	]]="Open Sale",OpenPendingCases[[#This Row],[Potential Same Month]]="High"),TEXT(OpenPendingCases[[#This Row],[Request Entry Date]], "[$-en-us]mmmm"),"")</f>
        <v/>
      </c>
      <c r="AK185" s="165" t="str">
        <f>IFERROR(VALUE(SUBSTITUTE(OpenPendingCases[[#This Row],[Price]]," AED","")),"")</f>
        <v/>
      </c>
      <c r="AL185" s="165" t="str">
        <f>IFERROR(VALUE(LEFT(OpenPendingCases[[#This Row],[Price]],FIND(" ",OpenPendingCases[[#This Row],[Price]])-1)),"")</f>
        <v/>
      </c>
      <c r="AM185" s="165" t="str">
        <f>IFERROR(VALUE(_xlfn.TEXTBEFORE(OpenPendingCases[[#This Row],[Price]]," AED")),"")</f>
        <v/>
      </c>
      <c r="AN185" s="165"/>
    </row>
    <row r="186" spans="3:40" ht="18" hidden="1" x14ac:dyDescent="0.35">
      <c r="C186" s="134"/>
      <c r="D186" s="137" t="str">
        <f>IF($U186="Open Sale", IF(MAX($D$4:D185)+1=0, "", MAX($D$4:D185)+1), "")</f>
        <v/>
      </c>
      <c r="E186" s="137" t="str">
        <f>IF($U186="Pending Allocation", IF(MAX($E$4:E185)+1=0, "", MAX($E$4:E185)+1), "")</f>
        <v/>
      </c>
      <c r="F186" s="137"/>
      <c r="G186" s="137"/>
      <c r="H186" s="150"/>
      <c r="I186" s="150"/>
      <c r="J186" s="68" t="str">
        <f>IF(OpenPendingCases[[#This Row],[Timepiece Reference ]]="", "", IF(_xlfn.XLOOKUP(OpenPendingCases[[#This Row],[Timepiece Reference ]], Table1[[Timepiece Reference ]], Table1[CRC STOCK], "Not Found")="YES", "CRC Stock", "Boutique Stock"))</f>
        <v/>
      </c>
      <c r="K186" s="137" t="str">
        <f>IF(OpenPendingCases[[#This Row],[Timepiece Reference ]]="", "", IF(_xlfn.XLOOKUP(OpenPendingCases[[#This Row],[Timepiece Reference ]], Table1[[Timepiece Reference ]], Table1[CRC STOCK], "Not Found")="YES", "CRC Stock", "Boutique Stock"))</f>
        <v/>
      </c>
      <c r="L186" s="140"/>
      <c r="M186" s="141"/>
      <c r="N186" s="137"/>
      <c r="O186" s="134"/>
      <c r="P186" s="94" t="str">
        <f>IFERROR(VLOOKUP(TRIM(O186), Collection!$B$2:$D$1001, 2, FALSE), "")</f>
        <v/>
      </c>
      <c r="Q186" s="190" t="str">
        <f>IFERROR(VLOOKUP(TRIM(O186), Collection!$B$2:$D$1001, 3, FALSE), "")</f>
        <v/>
      </c>
      <c r="R186" s="153" t="str">
        <f t="shared" si="16"/>
        <v/>
      </c>
      <c r="S186" s="151"/>
      <c r="T186" s="158"/>
      <c r="U186" s="137"/>
      <c r="V186" s="137"/>
      <c r="W186" s="156" t="str">
        <f t="shared" si="20"/>
        <v/>
      </c>
      <c r="X186" s="157"/>
      <c r="Y186" s="158"/>
      <c r="Z186" s="158"/>
      <c r="AA186" s="137" t="str">
        <f t="shared" ca="1" si="21"/>
        <v/>
      </c>
      <c r="AB186" s="137" t="str">
        <f t="shared" ca="1" si="17"/>
        <v/>
      </c>
      <c r="AC186" s="160" t="str">
        <f t="shared" ca="1" si="18"/>
        <v/>
      </c>
      <c r="AD186" s="159" t="str">
        <f t="shared" ca="1" si="19"/>
        <v/>
      </c>
      <c r="AE186" s="161"/>
      <c r="AF186" s="161"/>
      <c r="AG186" s="161"/>
      <c r="AH186" s="137"/>
      <c r="AI186" s="164" t="str">
        <f t="shared" si="22"/>
        <v/>
      </c>
      <c r="AJ186" s="164" t="str">
        <f>IF(AND(OpenPendingCases[[#This Row],[Sale Status	]]="Open Sale",OpenPendingCases[[#This Row],[Potential Same Month]]="High"),TEXT(OpenPendingCases[[#This Row],[Request Entry Date]], "[$-en-us]mmmm"),"")</f>
        <v/>
      </c>
      <c r="AK186" s="165" t="str">
        <f>IFERROR(VALUE(SUBSTITUTE(OpenPendingCases[[#This Row],[Price]]," AED","")),"")</f>
        <v/>
      </c>
      <c r="AL186" s="165" t="str">
        <f>IFERROR(VALUE(LEFT(OpenPendingCases[[#This Row],[Price]],FIND(" ",OpenPendingCases[[#This Row],[Price]])-1)),"")</f>
        <v/>
      </c>
      <c r="AM186" s="165" t="str">
        <f>IFERROR(VALUE(_xlfn.TEXTBEFORE(OpenPendingCases[[#This Row],[Price]]," AED")),"")</f>
        <v/>
      </c>
      <c r="AN186" s="165"/>
    </row>
    <row r="187" spans="3:40" ht="18" hidden="1" x14ac:dyDescent="0.35">
      <c r="C187" s="134"/>
      <c r="D187" s="137" t="str">
        <f>IF($U187="Open Sale", IF(MAX($D$4:D186)+1=0, "", MAX($D$4:D186)+1), "")</f>
        <v/>
      </c>
      <c r="E187" s="137" t="str">
        <f>IF($U187="Pending Allocation", IF(MAX($E$4:E186)+1=0, "", MAX($E$4:E186)+1), "")</f>
        <v/>
      </c>
      <c r="F187" s="137"/>
      <c r="G187" s="137"/>
      <c r="H187" s="150"/>
      <c r="I187" s="150"/>
      <c r="J187" s="68" t="str">
        <f>IF(OpenPendingCases[[#This Row],[Timepiece Reference ]]="", "", IF(_xlfn.XLOOKUP(OpenPendingCases[[#This Row],[Timepiece Reference ]], Table1[[Timepiece Reference ]], Table1[CRC STOCK], "Not Found")="YES", "CRC Stock", "Boutique Stock"))</f>
        <v/>
      </c>
      <c r="K187" s="137" t="str">
        <f>IF(OpenPendingCases[[#This Row],[Timepiece Reference ]]="", "", IF(_xlfn.XLOOKUP(OpenPendingCases[[#This Row],[Timepiece Reference ]], Table1[[Timepiece Reference ]], Table1[CRC STOCK], "Not Found")="YES", "CRC Stock", "Boutique Stock"))</f>
        <v/>
      </c>
      <c r="L187" s="140"/>
      <c r="M187" s="141"/>
      <c r="N187" s="137"/>
      <c r="O187" s="134"/>
      <c r="P187" s="94" t="str">
        <f>IFERROR(VLOOKUP(TRIM(O187), Collection!$B$2:$D$1001, 2, FALSE), "")</f>
        <v/>
      </c>
      <c r="Q187" s="190" t="str">
        <f>IFERROR(VLOOKUP(TRIM(O187), Collection!$B$2:$D$1001, 3, FALSE), "")</f>
        <v/>
      </c>
      <c r="R187" s="153" t="str">
        <f t="shared" si="16"/>
        <v/>
      </c>
      <c r="S187" s="151"/>
      <c r="T187" s="158"/>
      <c r="U187" s="137"/>
      <c r="V187" s="137"/>
      <c r="W187" s="156" t="str">
        <f t="shared" si="20"/>
        <v/>
      </c>
      <c r="X187" s="157"/>
      <c r="Y187" s="158"/>
      <c r="Z187" s="158"/>
      <c r="AA187" s="137" t="str">
        <f t="shared" ca="1" si="21"/>
        <v/>
      </c>
      <c r="AB187" s="137" t="str">
        <f t="shared" ca="1" si="17"/>
        <v/>
      </c>
      <c r="AC187" s="160" t="str">
        <f t="shared" ca="1" si="18"/>
        <v/>
      </c>
      <c r="AD187" s="159" t="str">
        <f t="shared" ca="1" si="19"/>
        <v/>
      </c>
      <c r="AE187" s="161"/>
      <c r="AF187" s="161"/>
      <c r="AG187" s="161"/>
      <c r="AH187" s="137"/>
      <c r="AI187" s="164" t="str">
        <f t="shared" si="22"/>
        <v/>
      </c>
      <c r="AJ187" s="164" t="str">
        <f>IF(AND(OpenPendingCases[[#This Row],[Sale Status	]]="Open Sale",OpenPendingCases[[#This Row],[Potential Same Month]]="High"),TEXT(OpenPendingCases[[#This Row],[Request Entry Date]], "[$-en-us]mmmm"),"")</f>
        <v/>
      </c>
      <c r="AK187" s="165" t="str">
        <f>IFERROR(VALUE(SUBSTITUTE(OpenPendingCases[[#This Row],[Price]]," AED","")),"")</f>
        <v/>
      </c>
      <c r="AL187" s="165" t="str">
        <f>IFERROR(VALUE(LEFT(OpenPendingCases[[#This Row],[Price]],FIND(" ",OpenPendingCases[[#This Row],[Price]])-1)),"")</f>
        <v/>
      </c>
      <c r="AM187" s="165" t="str">
        <f>IFERROR(VALUE(_xlfn.TEXTBEFORE(OpenPendingCases[[#This Row],[Price]]," AED")),"")</f>
        <v/>
      </c>
      <c r="AN187" s="165"/>
    </row>
    <row r="188" spans="3:40" ht="18" hidden="1" x14ac:dyDescent="0.35">
      <c r="C188" s="134"/>
      <c r="D188" s="137" t="str">
        <f>IF($U188="Open Sale", IF(MAX($D$4:D187)+1=0, "", MAX($D$4:D187)+1), "")</f>
        <v/>
      </c>
      <c r="E188" s="137" t="str">
        <f>IF($U188="Pending Allocation", IF(MAX($E$4:E187)+1=0, "", MAX($E$4:E187)+1), "")</f>
        <v/>
      </c>
      <c r="F188" s="137"/>
      <c r="G188" s="137"/>
      <c r="H188" s="150"/>
      <c r="I188" s="150"/>
      <c r="J188" s="68" t="str">
        <f>IF(OpenPendingCases[[#This Row],[Timepiece Reference ]]="", "", IF(_xlfn.XLOOKUP(OpenPendingCases[[#This Row],[Timepiece Reference ]], Table1[[Timepiece Reference ]], Table1[CRC STOCK], "Not Found")="YES", "CRC Stock", "Boutique Stock"))</f>
        <v/>
      </c>
      <c r="K188" s="137" t="str">
        <f>IF(OpenPendingCases[[#This Row],[Timepiece Reference ]]="", "", IF(_xlfn.XLOOKUP(OpenPendingCases[[#This Row],[Timepiece Reference ]], Table1[[Timepiece Reference ]], Table1[CRC STOCK], "Not Found")="YES", "CRC Stock", "Boutique Stock"))</f>
        <v/>
      </c>
      <c r="L188" s="140"/>
      <c r="M188" s="141"/>
      <c r="N188" s="137"/>
      <c r="O188" s="134"/>
      <c r="P188" s="94" t="str">
        <f>IFERROR(VLOOKUP(TRIM(O188), Collection!$B$2:$D$1001, 2, FALSE), "")</f>
        <v/>
      </c>
      <c r="Q188" s="190" t="str">
        <f>IFERROR(VLOOKUP(TRIM(O188), Collection!$B$2:$D$1001, 3, FALSE), "")</f>
        <v/>
      </c>
      <c r="R188" s="153" t="str">
        <f t="shared" si="16"/>
        <v/>
      </c>
      <c r="S188" s="151"/>
      <c r="T188" s="158"/>
      <c r="U188" s="137"/>
      <c r="V188" s="137"/>
      <c r="W188" s="156" t="str">
        <f t="shared" si="20"/>
        <v/>
      </c>
      <c r="X188" s="157"/>
      <c r="Y188" s="158"/>
      <c r="Z188" s="158"/>
      <c r="AA188" s="137" t="str">
        <f t="shared" ca="1" si="21"/>
        <v/>
      </c>
      <c r="AB188" s="137" t="str">
        <f t="shared" ca="1" si="17"/>
        <v/>
      </c>
      <c r="AC188" s="160" t="str">
        <f t="shared" ca="1" si="18"/>
        <v/>
      </c>
      <c r="AD188" s="159" t="str">
        <f t="shared" ca="1" si="19"/>
        <v/>
      </c>
      <c r="AE188" s="161"/>
      <c r="AF188" s="161"/>
      <c r="AG188" s="161"/>
      <c r="AH188" s="137"/>
      <c r="AI188" s="164" t="str">
        <f t="shared" si="22"/>
        <v/>
      </c>
      <c r="AJ188" s="164" t="str">
        <f>IF(AND(OpenPendingCases[[#This Row],[Sale Status	]]="Open Sale",OpenPendingCases[[#This Row],[Potential Same Month]]="High"),TEXT(OpenPendingCases[[#This Row],[Request Entry Date]], "[$-en-us]mmmm"),"")</f>
        <v/>
      </c>
      <c r="AK188" s="165" t="str">
        <f>IFERROR(VALUE(SUBSTITUTE(OpenPendingCases[[#This Row],[Price]]," AED","")),"")</f>
        <v/>
      </c>
      <c r="AL188" s="165" t="str">
        <f>IFERROR(VALUE(LEFT(OpenPendingCases[[#This Row],[Price]],FIND(" ",OpenPendingCases[[#This Row],[Price]])-1)),"")</f>
        <v/>
      </c>
      <c r="AM188" s="165" t="str">
        <f>IFERROR(VALUE(_xlfn.TEXTBEFORE(OpenPendingCases[[#This Row],[Price]]," AED")),"")</f>
        <v/>
      </c>
      <c r="AN188" s="165"/>
    </row>
    <row r="189" spans="3:40" ht="18" hidden="1" x14ac:dyDescent="0.35">
      <c r="C189" s="134"/>
      <c r="D189" s="137" t="str">
        <f>IF($U189="Open Sale", IF(MAX($D$4:D188)+1=0, "", MAX($D$4:D188)+1), "")</f>
        <v/>
      </c>
      <c r="E189" s="137" t="str">
        <f>IF($U189="Pending Allocation", IF(MAX($E$4:E188)+1=0, "", MAX($E$4:E188)+1), "")</f>
        <v/>
      </c>
      <c r="F189" s="137"/>
      <c r="G189" s="137"/>
      <c r="H189" s="150"/>
      <c r="I189" s="150"/>
      <c r="J189" s="68" t="str">
        <f>IF(OpenPendingCases[[#This Row],[Timepiece Reference ]]="", "", IF(_xlfn.XLOOKUP(OpenPendingCases[[#This Row],[Timepiece Reference ]], Table1[[Timepiece Reference ]], Table1[CRC STOCK], "Not Found")="YES", "CRC Stock", "Boutique Stock"))</f>
        <v/>
      </c>
      <c r="K189" s="137" t="str">
        <f>IF(OpenPendingCases[[#This Row],[Timepiece Reference ]]="", "", IF(_xlfn.XLOOKUP(OpenPendingCases[[#This Row],[Timepiece Reference ]], Table1[[Timepiece Reference ]], Table1[CRC STOCK], "Not Found")="YES", "CRC Stock", "Boutique Stock"))</f>
        <v/>
      </c>
      <c r="L189" s="140"/>
      <c r="M189" s="141"/>
      <c r="N189" s="137"/>
      <c r="O189" s="134"/>
      <c r="P189" s="94" t="str">
        <f>IFERROR(VLOOKUP(TRIM(O189), Collection!$B$2:$D$1001, 2, FALSE), "")</f>
        <v/>
      </c>
      <c r="Q189" s="190" t="str">
        <f>IFERROR(VLOOKUP(TRIM(O189), Collection!$B$2:$D$1001, 3, FALSE), "")</f>
        <v/>
      </c>
      <c r="R189" s="153" t="str">
        <f t="shared" si="16"/>
        <v/>
      </c>
      <c r="S189" s="151"/>
      <c r="T189" s="158"/>
      <c r="U189" s="137"/>
      <c r="V189" s="137"/>
      <c r="W189" s="156" t="str">
        <f t="shared" si="20"/>
        <v/>
      </c>
      <c r="X189" s="157"/>
      <c r="Y189" s="158"/>
      <c r="Z189" s="158"/>
      <c r="AA189" s="137" t="str">
        <f t="shared" ca="1" si="21"/>
        <v/>
      </c>
      <c r="AB189" s="137" t="str">
        <f t="shared" ca="1" si="17"/>
        <v/>
      </c>
      <c r="AC189" s="160" t="str">
        <f t="shared" ca="1" si="18"/>
        <v/>
      </c>
      <c r="AD189" s="159" t="str">
        <f t="shared" ca="1" si="19"/>
        <v/>
      </c>
      <c r="AE189" s="161"/>
      <c r="AF189" s="161"/>
      <c r="AG189" s="161"/>
      <c r="AH189" s="137"/>
      <c r="AI189" s="164" t="str">
        <f t="shared" si="22"/>
        <v/>
      </c>
      <c r="AJ189" s="164" t="str">
        <f>IF(AND(OpenPendingCases[[#This Row],[Sale Status	]]="Open Sale",OpenPendingCases[[#This Row],[Potential Same Month]]="High"),TEXT(OpenPendingCases[[#This Row],[Request Entry Date]], "[$-en-us]mmmm"),"")</f>
        <v/>
      </c>
      <c r="AK189" s="165" t="str">
        <f>IFERROR(VALUE(SUBSTITUTE(OpenPendingCases[[#This Row],[Price]]," AED","")),"")</f>
        <v/>
      </c>
      <c r="AL189" s="165" t="str">
        <f>IFERROR(VALUE(LEFT(OpenPendingCases[[#This Row],[Price]],FIND(" ",OpenPendingCases[[#This Row],[Price]])-1)),"")</f>
        <v/>
      </c>
      <c r="AM189" s="165" t="str">
        <f>IFERROR(VALUE(_xlfn.TEXTBEFORE(OpenPendingCases[[#This Row],[Price]]," AED")),"")</f>
        <v/>
      </c>
      <c r="AN189" s="165"/>
    </row>
    <row r="190" spans="3:40" ht="18" hidden="1" x14ac:dyDescent="0.35">
      <c r="C190" s="134"/>
      <c r="D190" s="137" t="str">
        <f>IF($U190="Open Sale", IF(MAX($D$4:D189)+1=0, "", MAX($D$4:D189)+1), "")</f>
        <v/>
      </c>
      <c r="E190" s="137" t="str">
        <f>IF($U190="Pending Allocation", IF(MAX($E$4:E189)+1=0, "", MAX($E$4:E189)+1), "")</f>
        <v/>
      </c>
      <c r="F190" s="137"/>
      <c r="G190" s="137"/>
      <c r="H190" s="150"/>
      <c r="I190" s="150"/>
      <c r="J190" s="68" t="str">
        <f>IF(OpenPendingCases[[#This Row],[Timepiece Reference ]]="", "", IF(_xlfn.XLOOKUP(OpenPendingCases[[#This Row],[Timepiece Reference ]], Table1[[Timepiece Reference ]], Table1[CRC STOCK], "Not Found")="YES", "CRC Stock", "Boutique Stock"))</f>
        <v/>
      </c>
      <c r="K190" s="137" t="str">
        <f>IF(OpenPendingCases[[#This Row],[Timepiece Reference ]]="", "", IF(_xlfn.XLOOKUP(OpenPendingCases[[#This Row],[Timepiece Reference ]], Table1[[Timepiece Reference ]], Table1[CRC STOCK], "Not Found")="YES", "CRC Stock", "Boutique Stock"))</f>
        <v/>
      </c>
      <c r="L190" s="140"/>
      <c r="M190" s="141"/>
      <c r="N190" s="137"/>
      <c r="O190" s="134"/>
      <c r="P190" s="94" t="str">
        <f>IFERROR(VLOOKUP(TRIM(O190), Collection!$B$2:$D$1001, 2, FALSE), "")</f>
        <v/>
      </c>
      <c r="Q190" s="190" t="str">
        <f>IFERROR(VLOOKUP(TRIM(O190), Collection!$B$2:$D$1001, 3, FALSE), "")</f>
        <v/>
      </c>
      <c r="R190" s="153" t="str">
        <f t="shared" si="16"/>
        <v/>
      </c>
      <c r="S190" s="151"/>
      <c r="T190" s="158"/>
      <c r="U190" s="137"/>
      <c r="V190" s="137"/>
      <c r="W190" s="156" t="str">
        <f t="shared" si="20"/>
        <v/>
      </c>
      <c r="X190" s="157"/>
      <c r="Y190" s="158"/>
      <c r="Z190" s="158"/>
      <c r="AA190" s="137" t="str">
        <f t="shared" ca="1" si="21"/>
        <v/>
      </c>
      <c r="AB190" s="137" t="str">
        <f t="shared" ca="1" si="17"/>
        <v/>
      </c>
      <c r="AC190" s="160" t="str">
        <f t="shared" ca="1" si="18"/>
        <v/>
      </c>
      <c r="AD190" s="159" t="str">
        <f t="shared" ca="1" si="19"/>
        <v/>
      </c>
      <c r="AE190" s="161"/>
      <c r="AF190" s="161"/>
      <c r="AG190" s="161"/>
      <c r="AH190" s="137"/>
      <c r="AI190" s="164" t="str">
        <f t="shared" si="22"/>
        <v/>
      </c>
      <c r="AJ190" s="164" t="str">
        <f>IF(AND(OpenPendingCases[[#This Row],[Sale Status	]]="Open Sale",OpenPendingCases[[#This Row],[Potential Same Month]]="High"),TEXT(OpenPendingCases[[#This Row],[Request Entry Date]], "[$-en-us]mmmm"),"")</f>
        <v/>
      </c>
      <c r="AK190" s="165" t="str">
        <f>IFERROR(VALUE(SUBSTITUTE(OpenPendingCases[[#This Row],[Price]]," AED","")),"")</f>
        <v/>
      </c>
      <c r="AL190" s="165" t="str">
        <f>IFERROR(VALUE(LEFT(OpenPendingCases[[#This Row],[Price]],FIND(" ",OpenPendingCases[[#This Row],[Price]])-1)),"")</f>
        <v/>
      </c>
      <c r="AM190" s="165" t="str">
        <f>IFERROR(VALUE(_xlfn.TEXTBEFORE(OpenPendingCases[[#This Row],[Price]]," AED")),"")</f>
        <v/>
      </c>
      <c r="AN190" s="165"/>
    </row>
    <row r="191" spans="3:40" ht="18" hidden="1" x14ac:dyDescent="0.35">
      <c r="C191" s="134"/>
      <c r="D191" s="137" t="str">
        <f>IF($U191="Open Sale", IF(MAX($D$4:D190)+1=0, "", MAX($D$4:D190)+1), "")</f>
        <v/>
      </c>
      <c r="E191" s="137" t="str">
        <f>IF($U191="Pending Allocation", IF(MAX($E$4:E190)+1=0, "", MAX($E$4:E190)+1), "")</f>
        <v/>
      </c>
      <c r="F191" s="137"/>
      <c r="G191" s="137"/>
      <c r="H191" s="150"/>
      <c r="I191" s="150"/>
      <c r="J191" s="68" t="str">
        <f>IF(OpenPendingCases[[#This Row],[Timepiece Reference ]]="", "", IF(_xlfn.XLOOKUP(OpenPendingCases[[#This Row],[Timepiece Reference ]], Table1[[Timepiece Reference ]], Table1[CRC STOCK], "Not Found")="YES", "CRC Stock", "Boutique Stock"))</f>
        <v/>
      </c>
      <c r="K191" s="137" t="str">
        <f>IF(OpenPendingCases[[#This Row],[Timepiece Reference ]]="", "", IF(_xlfn.XLOOKUP(OpenPendingCases[[#This Row],[Timepiece Reference ]], Table1[[Timepiece Reference ]], Table1[CRC STOCK], "Not Found")="YES", "CRC Stock", "Boutique Stock"))</f>
        <v/>
      </c>
      <c r="L191" s="140"/>
      <c r="M191" s="141"/>
      <c r="N191" s="137"/>
      <c r="O191" s="134"/>
      <c r="P191" s="94" t="str">
        <f>IFERROR(VLOOKUP(TRIM(O191), Collection!$B$2:$D$1001, 2, FALSE), "")</f>
        <v/>
      </c>
      <c r="Q191" s="190" t="str">
        <f>IFERROR(VLOOKUP(TRIM(O191), Collection!$B$2:$D$1001, 3, FALSE), "")</f>
        <v/>
      </c>
      <c r="R191" s="153" t="str">
        <f t="shared" si="16"/>
        <v/>
      </c>
      <c r="S191" s="151"/>
      <c r="T191" s="158"/>
      <c r="U191" s="137"/>
      <c r="V191" s="137"/>
      <c r="W191" s="156" t="str">
        <f t="shared" si="20"/>
        <v/>
      </c>
      <c r="X191" s="157"/>
      <c r="Y191" s="158"/>
      <c r="Z191" s="158"/>
      <c r="AA191" s="137" t="str">
        <f t="shared" ca="1" si="21"/>
        <v/>
      </c>
      <c r="AB191" s="137" t="str">
        <f t="shared" ca="1" si="17"/>
        <v/>
      </c>
      <c r="AC191" s="160" t="str">
        <f t="shared" ca="1" si="18"/>
        <v/>
      </c>
      <c r="AD191" s="159" t="str">
        <f t="shared" ca="1" si="19"/>
        <v/>
      </c>
      <c r="AE191" s="161"/>
      <c r="AF191" s="161"/>
      <c r="AG191" s="161"/>
      <c r="AH191" s="137"/>
      <c r="AI191" s="164" t="str">
        <f t="shared" si="22"/>
        <v/>
      </c>
      <c r="AJ191" s="164" t="str">
        <f>IF(AND(OpenPendingCases[[#This Row],[Sale Status	]]="Open Sale",OpenPendingCases[[#This Row],[Potential Same Month]]="High"),TEXT(OpenPendingCases[[#This Row],[Request Entry Date]], "[$-en-us]mmmm"),"")</f>
        <v/>
      </c>
      <c r="AK191" s="165" t="str">
        <f>IFERROR(VALUE(SUBSTITUTE(OpenPendingCases[[#This Row],[Price]]," AED","")),"")</f>
        <v/>
      </c>
      <c r="AL191" s="165" t="str">
        <f>IFERROR(VALUE(LEFT(OpenPendingCases[[#This Row],[Price]],FIND(" ",OpenPendingCases[[#This Row],[Price]])-1)),"")</f>
        <v/>
      </c>
      <c r="AM191" s="165" t="str">
        <f>IFERROR(VALUE(_xlfn.TEXTBEFORE(OpenPendingCases[[#This Row],[Price]]," AED")),"")</f>
        <v/>
      </c>
      <c r="AN191" s="165"/>
    </row>
    <row r="192" spans="3:40" ht="18" hidden="1" x14ac:dyDescent="0.35">
      <c r="C192" s="134"/>
      <c r="D192" s="137" t="str">
        <f>IF($U192="Open Sale", IF(MAX($D$4:D191)+1=0, "", MAX($D$4:D191)+1), "")</f>
        <v/>
      </c>
      <c r="E192" s="137" t="str">
        <f>IF($U192="Pending Allocation", IF(MAX($E$4:E191)+1=0, "", MAX($E$4:E191)+1), "")</f>
        <v/>
      </c>
      <c r="F192" s="137"/>
      <c r="G192" s="137"/>
      <c r="H192" s="150"/>
      <c r="I192" s="150"/>
      <c r="J192" s="68" t="str">
        <f>IF(OpenPendingCases[[#This Row],[Timepiece Reference ]]="", "", IF(_xlfn.XLOOKUP(OpenPendingCases[[#This Row],[Timepiece Reference ]], Table1[[Timepiece Reference ]], Table1[CRC STOCK], "Not Found")="YES", "CRC Stock", "Boutique Stock"))</f>
        <v/>
      </c>
      <c r="K192" s="137" t="str">
        <f>IF(OpenPendingCases[[#This Row],[Timepiece Reference ]]="", "", IF(_xlfn.XLOOKUP(OpenPendingCases[[#This Row],[Timepiece Reference ]], Table1[[Timepiece Reference ]], Table1[CRC STOCK], "Not Found")="YES", "CRC Stock", "Boutique Stock"))</f>
        <v/>
      </c>
      <c r="L192" s="140"/>
      <c r="M192" s="141"/>
      <c r="N192" s="137"/>
      <c r="O192" s="134"/>
      <c r="P192" s="94" t="str">
        <f>IFERROR(VLOOKUP(TRIM(O192), Collection!$B$2:$D$1001, 2, FALSE), "")</f>
        <v/>
      </c>
      <c r="Q192" s="190" t="str">
        <f>IFERROR(VLOOKUP(TRIM(O192), Collection!$B$2:$D$1001, 3, FALSE), "")</f>
        <v/>
      </c>
      <c r="R192" s="153" t="str">
        <f t="shared" si="16"/>
        <v/>
      </c>
      <c r="S192" s="151"/>
      <c r="T192" s="158"/>
      <c r="U192" s="137"/>
      <c r="V192" s="137"/>
      <c r="W192" s="156" t="str">
        <f t="shared" si="20"/>
        <v/>
      </c>
      <c r="X192" s="157"/>
      <c r="Y192" s="158"/>
      <c r="Z192" s="158"/>
      <c r="AA192" s="137" t="str">
        <f t="shared" ca="1" si="21"/>
        <v/>
      </c>
      <c r="AB192" s="137" t="str">
        <f t="shared" ca="1" si="17"/>
        <v/>
      </c>
      <c r="AC192" s="160" t="str">
        <f t="shared" ca="1" si="18"/>
        <v/>
      </c>
      <c r="AD192" s="159" t="str">
        <f t="shared" ca="1" si="19"/>
        <v/>
      </c>
      <c r="AE192" s="161"/>
      <c r="AF192" s="161"/>
      <c r="AG192" s="161"/>
      <c r="AH192" s="137"/>
      <c r="AI192" s="164" t="str">
        <f t="shared" si="22"/>
        <v/>
      </c>
      <c r="AJ192" s="164" t="str">
        <f>IF(AND(OpenPendingCases[[#This Row],[Sale Status	]]="Open Sale",OpenPendingCases[[#This Row],[Potential Same Month]]="High"),TEXT(OpenPendingCases[[#This Row],[Request Entry Date]], "[$-en-us]mmmm"),"")</f>
        <v/>
      </c>
      <c r="AK192" s="165" t="str">
        <f>IFERROR(VALUE(SUBSTITUTE(OpenPendingCases[[#This Row],[Price]]," AED","")),"")</f>
        <v/>
      </c>
      <c r="AL192" s="165" t="str">
        <f>IFERROR(VALUE(LEFT(OpenPendingCases[[#This Row],[Price]],FIND(" ",OpenPendingCases[[#This Row],[Price]])-1)),"")</f>
        <v/>
      </c>
      <c r="AM192" s="165" t="str">
        <f>IFERROR(VALUE(_xlfn.TEXTBEFORE(OpenPendingCases[[#This Row],[Price]]," AED")),"")</f>
        <v/>
      </c>
      <c r="AN192" s="165"/>
    </row>
    <row r="193" spans="3:40" ht="18" hidden="1" x14ac:dyDescent="0.35">
      <c r="C193" s="134"/>
      <c r="D193" s="137" t="str">
        <f>IF($U193="Open Sale", IF(MAX($D$4:D192)+1=0, "", MAX($D$4:D192)+1), "")</f>
        <v/>
      </c>
      <c r="E193" s="137" t="str">
        <f>IF($U193="Pending Allocation", IF(MAX($E$4:E192)+1=0, "", MAX($E$4:E192)+1), "")</f>
        <v/>
      </c>
      <c r="F193" s="137"/>
      <c r="G193" s="137"/>
      <c r="H193" s="150"/>
      <c r="I193" s="150"/>
      <c r="J193" s="68" t="str">
        <f>IF(OpenPendingCases[[#This Row],[Timepiece Reference ]]="", "", IF(_xlfn.XLOOKUP(OpenPendingCases[[#This Row],[Timepiece Reference ]], Table1[[Timepiece Reference ]], Table1[CRC STOCK], "Not Found")="YES", "CRC Stock", "Boutique Stock"))</f>
        <v/>
      </c>
      <c r="K193" s="137" t="str">
        <f>IF(OpenPendingCases[[#This Row],[Timepiece Reference ]]="", "", IF(_xlfn.XLOOKUP(OpenPendingCases[[#This Row],[Timepiece Reference ]], Table1[[Timepiece Reference ]], Table1[CRC STOCK], "Not Found")="YES", "CRC Stock", "Boutique Stock"))</f>
        <v/>
      </c>
      <c r="L193" s="140"/>
      <c r="M193" s="141"/>
      <c r="N193" s="137"/>
      <c r="O193" s="134"/>
      <c r="P193" s="94" t="str">
        <f>IFERROR(VLOOKUP(TRIM(O193), Collection!$B$2:$D$1001, 2, FALSE), "")</f>
        <v/>
      </c>
      <c r="Q193" s="190" t="str">
        <f>IFERROR(VLOOKUP(TRIM(O193), Collection!$B$2:$D$1001, 3, FALSE), "")</f>
        <v/>
      </c>
      <c r="R193" s="153" t="str">
        <f t="shared" si="16"/>
        <v/>
      </c>
      <c r="S193" s="151"/>
      <c r="T193" s="158"/>
      <c r="U193" s="137"/>
      <c r="V193" s="137"/>
      <c r="W193" s="156" t="str">
        <f t="shared" si="20"/>
        <v/>
      </c>
      <c r="X193" s="157"/>
      <c r="Y193" s="158"/>
      <c r="Z193" s="158"/>
      <c r="AA193" s="137" t="str">
        <f t="shared" ca="1" si="21"/>
        <v/>
      </c>
      <c r="AB193" s="137" t="str">
        <f t="shared" ca="1" si="17"/>
        <v/>
      </c>
      <c r="AC193" s="160" t="str">
        <f t="shared" ca="1" si="18"/>
        <v/>
      </c>
      <c r="AD193" s="159" t="str">
        <f t="shared" ca="1" si="19"/>
        <v/>
      </c>
      <c r="AE193" s="161"/>
      <c r="AF193" s="161"/>
      <c r="AG193" s="161"/>
      <c r="AH193" s="137"/>
      <c r="AI193" s="164" t="str">
        <f t="shared" si="22"/>
        <v/>
      </c>
      <c r="AJ193" s="164" t="str">
        <f>IF(AND(OpenPendingCases[[#This Row],[Sale Status	]]="Open Sale",OpenPendingCases[[#This Row],[Potential Same Month]]="High"),TEXT(OpenPendingCases[[#This Row],[Request Entry Date]], "[$-en-us]mmmm"),"")</f>
        <v/>
      </c>
      <c r="AK193" s="165" t="str">
        <f>IFERROR(VALUE(SUBSTITUTE(OpenPendingCases[[#This Row],[Price]]," AED","")),"")</f>
        <v/>
      </c>
      <c r="AL193" s="165" t="str">
        <f>IFERROR(VALUE(LEFT(OpenPendingCases[[#This Row],[Price]],FIND(" ",OpenPendingCases[[#This Row],[Price]])-1)),"")</f>
        <v/>
      </c>
      <c r="AM193" s="165" t="str">
        <f>IFERROR(VALUE(_xlfn.TEXTBEFORE(OpenPendingCases[[#This Row],[Price]]," AED")),"")</f>
        <v/>
      </c>
      <c r="AN193" s="165"/>
    </row>
    <row r="194" spans="3:40" ht="18" hidden="1" x14ac:dyDescent="0.35">
      <c r="C194" s="134"/>
      <c r="D194" s="137" t="str">
        <f>IF($U194="Open Sale", IF(MAX($D$4:D193)+1=0, "", MAX($D$4:D193)+1), "")</f>
        <v/>
      </c>
      <c r="E194" s="137" t="str">
        <f>IF($U194="Pending Allocation", IF(MAX($E$4:E193)+1=0, "", MAX($E$4:E193)+1), "")</f>
        <v/>
      </c>
      <c r="F194" s="137"/>
      <c r="G194" s="137"/>
      <c r="H194" s="150"/>
      <c r="I194" s="150"/>
      <c r="J194" s="68" t="str">
        <f>IF(OpenPendingCases[[#This Row],[Timepiece Reference ]]="", "", IF(_xlfn.XLOOKUP(OpenPendingCases[[#This Row],[Timepiece Reference ]], Table1[[Timepiece Reference ]], Table1[CRC STOCK], "Not Found")="YES", "CRC Stock", "Boutique Stock"))</f>
        <v/>
      </c>
      <c r="K194" s="137" t="str">
        <f>IF(OpenPendingCases[[#This Row],[Timepiece Reference ]]="", "", IF(_xlfn.XLOOKUP(OpenPendingCases[[#This Row],[Timepiece Reference ]], Table1[[Timepiece Reference ]], Table1[CRC STOCK], "Not Found")="YES", "CRC Stock", "Boutique Stock"))</f>
        <v/>
      </c>
      <c r="L194" s="140"/>
      <c r="M194" s="141"/>
      <c r="N194" s="137"/>
      <c r="O194" s="134"/>
      <c r="P194" s="94" t="str">
        <f>IFERROR(VLOOKUP(TRIM(O194), Collection!$B$2:$D$1001, 2, FALSE), "")</f>
        <v/>
      </c>
      <c r="Q194" s="190" t="str">
        <f>IFERROR(VLOOKUP(TRIM(O194), Collection!$B$2:$D$1001, 3, FALSE), "")</f>
        <v/>
      </c>
      <c r="R194" s="153" t="str">
        <f t="shared" si="16"/>
        <v/>
      </c>
      <c r="S194" s="151"/>
      <c r="T194" s="158"/>
      <c r="U194" s="137"/>
      <c r="V194" s="137"/>
      <c r="W194" s="156" t="str">
        <f t="shared" si="20"/>
        <v/>
      </c>
      <c r="X194" s="157"/>
      <c r="Y194" s="158"/>
      <c r="Z194" s="158"/>
      <c r="AA194" s="137" t="str">
        <f t="shared" ca="1" si="21"/>
        <v/>
      </c>
      <c r="AB194" s="137" t="str">
        <f t="shared" ca="1" si="17"/>
        <v/>
      </c>
      <c r="AC194" s="160" t="str">
        <f t="shared" ca="1" si="18"/>
        <v/>
      </c>
      <c r="AD194" s="159" t="str">
        <f t="shared" ca="1" si="19"/>
        <v/>
      </c>
      <c r="AE194" s="161"/>
      <c r="AF194" s="161"/>
      <c r="AG194" s="161"/>
      <c r="AH194" s="137"/>
      <c r="AI194" s="164" t="str">
        <f t="shared" si="22"/>
        <v/>
      </c>
      <c r="AJ194" s="164" t="str">
        <f>IF(AND(OpenPendingCases[[#This Row],[Sale Status	]]="Open Sale",OpenPendingCases[[#This Row],[Potential Same Month]]="High"),TEXT(OpenPendingCases[[#This Row],[Request Entry Date]], "[$-en-us]mmmm"),"")</f>
        <v/>
      </c>
      <c r="AK194" s="165" t="str">
        <f>IFERROR(VALUE(SUBSTITUTE(OpenPendingCases[[#This Row],[Price]]," AED","")),"")</f>
        <v/>
      </c>
      <c r="AL194" s="165" t="str">
        <f>IFERROR(VALUE(LEFT(OpenPendingCases[[#This Row],[Price]],FIND(" ",OpenPendingCases[[#This Row],[Price]])-1)),"")</f>
        <v/>
      </c>
      <c r="AM194" s="165" t="str">
        <f>IFERROR(VALUE(_xlfn.TEXTBEFORE(OpenPendingCases[[#This Row],[Price]]," AED")),"")</f>
        <v/>
      </c>
      <c r="AN194" s="165"/>
    </row>
    <row r="195" spans="3:40" ht="18" hidden="1" x14ac:dyDescent="0.35">
      <c r="C195" s="134"/>
      <c r="D195" s="137" t="str">
        <f>IF($U195="Open Sale", IF(MAX($D$4:D194)+1=0, "", MAX($D$4:D194)+1), "")</f>
        <v/>
      </c>
      <c r="E195" s="137" t="str">
        <f>IF($U195="Pending Allocation", IF(MAX($E$4:E194)+1=0, "", MAX($E$4:E194)+1), "")</f>
        <v/>
      </c>
      <c r="F195" s="137"/>
      <c r="G195" s="137"/>
      <c r="H195" s="150"/>
      <c r="I195" s="150"/>
      <c r="J195" s="68" t="str">
        <f>IF(OpenPendingCases[[#This Row],[Timepiece Reference ]]="", "", IF(_xlfn.XLOOKUP(OpenPendingCases[[#This Row],[Timepiece Reference ]], Table1[[Timepiece Reference ]], Table1[CRC STOCK], "Not Found")="YES", "CRC Stock", "Boutique Stock"))</f>
        <v/>
      </c>
      <c r="K195" s="137" t="str">
        <f>IF(OpenPendingCases[[#This Row],[Timepiece Reference ]]="", "", IF(_xlfn.XLOOKUP(OpenPendingCases[[#This Row],[Timepiece Reference ]], Table1[[Timepiece Reference ]], Table1[CRC STOCK], "Not Found")="YES", "CRC Stock", "Boutique Stock"))</f>
        <v/>
      </c>
      <c r="L195" s="140"/>
      <c r="M195" s="141"/>
      <c r="N195" s="137"/>
      <c r="O195" s="134"/>
      <c r="P195" s="94" t="str">
        <f>IFERROR(VLOOKUP(TRIM(O195), Collection!$B$2:$D$1001, 2, FALSE), "")</f>
        <v/>
      </c>
      <c r="Q195" s="190" t="str">
        <f>IFERROR(VLOOKUP(TRIM(O195), Collection!$B$2:$D$1001, 3, FALSE), "")</f>
        <v/>
      </c>
      <c r="R195" s="153" t="str">
        <f t="shared" ref="R195:R258" si="23">IFERROR(VALUE(SUBSTITUTE(SUBSTITUTE(Q195, "Price", ""), "AED", "")), "")</f>
        <v/>
      </c>
      <c r="S195" s="151"/>
      <c r="T195" s="158"/>
      <c r="U195" s="137"/>
      <c r="V195" s="137"/>
      <c r="W195" s="156" t="str">
        <f t="shared" si="20"/>
        <v/>
      </c>
      <c r="X195" s="157"/>
      <c r="Y195" s="158"/>
      <c r="Z195" s="158"/>
      <c r="AA195" s="137" t="str">
        <f t="shared" ca="1" si="21"/>
        <v/>
      </c>
      <c r="AB195" s="137" t="str">
        <f t="shared" ref="AB195:AB258" ca="1" si="24">IF(H195="", "", IF(OR(U195="Pending", U195="Pending Allocation"), CONCATENATE(TODAY()-H195, " Days"), IF(U195="Closed", "", "")))</f>
        <v/>
      </c>
      <c r="AC195" s="160" t="str">
        <f t="shared" ref="AC195:AC258" ca="1" si="25">IF(U195="Pending Allocation", IF(I195="", "", TODAY()-I195), "")</f>
        <v/>
      </c>
      <c r="AD195" s="159" t="str">
        <f t="shared" ref="AD195:AD258" ca="1" si="26">IF(U195="Open Sale", TEXT(TODAY()-I195, "0"),
   IF(U195="Pending", "",
      IF(U195="Closed Sale", "", "")))</f>
        <v/>
      </c>
      <c r="AE195" s="161"/>
      <c r="AF195" s="161"/>
      <c r="AG195" s="161"/>
      <c r="AH195" s="137"/>
      <c r="AI195" s="164" t="str">
        <f t="shared" si="22"/>
        <v/>
      </c>
      <c r="AJ195" s="164" t="str">
        <f>IF(AND(OpenPendingCases[[#This Row],[Sale Status	]]="Open Sale",OpenPendingCases[[#This Row],[Potential Same Month]]="High"),TEXT(OpenPendingCases[[#This Row],[Request Entry Date]], "[$-en-us]mmmm"),"")</f>
        <v/>
      </c>
      <c r="AK195" s="165" t="str">
        <f>IFERROR(VALUE(SUBSTITUTE(OpenPendingCases[[#This Row],[Price]]," AED","")),"")</f>
        <v/>
      </c>
      <c r="AL195" s="165" t="str">
        <f>IFERROR(VALUE(LEFT(OpenPendingCases[[#This Row],[Price]],FIND(" ",OpenPendingCases[[#This Row],[Price]])-1)),"")</f>
        <v/>
      </c>
      <c r="AM195" s="165" t="str">
        <f>IFERROR(VALUE(_xlfn.TEXTBEFORE(OpenPendingCases[[#This Row],[Price]]," AED")),"")</f>
        <v/>
      </c>
      <c r="AN195" s="165"/>
    </row>
    <row r="196" spans="3:40" ht="18" hidden="1" x14ac:dyDescent="0.35">
      <c r="C196" s="134"/>
      <c r="D196" s="137" t="str">
        <f>IF($U196="Open Sale", IF(MAX($D$4:D195)+1=0, "", MAX($D$4:D195)+1), "")</f>
        <v/>
      </c>
      <c r="E196" s="137" t="str">
        <f>IF($U196="Pending Allocation", IF(MAX($E$4:E195)+1=0, "", MAX($E$4:E195)+1), "")</f>
        <v/>
      </c>
      <c r="F196" s="137"/>
      <c r="G196" s="137"/>
      <c r="H196" s="150"/>
      <c r="I196" s="150"/>
      <c r="J196" s="68" t="str">
        <f>IF(OpenPendingCases[[#This Row],[Timepiece Reference ]]="", "", IF(_xlfn.XLOOKUP(OpenPendingCases[[#This Row],[Timepiece Reference ]], Table1[[Timepiece Reference ]], Table1[CRC STOCK], "Not Found")="YES", "CRC Stock", "Boutique Stock"))</f>
        <v/>
      </c>
      <c r="K196" s="137" t="str">
        <f>IF(OpenPendingCases[[#This Row],[Timepiece Reference ]]="", "", IF(_xlfn.XLOOKUP(OpenPendingCases[[#This Row],[Timepiece Reference ]], Table1[[Timepiece Reference ]], Table1[CRC STOCK], "Not Found")="YES", "CRC Stock", "Boutique Stock"))</f>
        <v/>
      </c>
      <c r="L196" s="140"/>
      <c r="M196" s="141"/>
      <c r="N196" s="137"/>
      <c r="O196" s="134"/>
      <c r="P196" s="94" t="str">
        <f>IFERROR(VLOOKUP(TRIM(O196), Collection!$B$2:$D$1001, 2, FALSE), "")</f>
        <v/>
      </c>
      <c r="Q196" s="190" t="str">
        <f>IFERROR(VLOOKUP(TRIM(O196), Collection!$B$2:$D$1001, 3, FALSE), "")</f>
        <v/>
      </c>
      <c r="R196" s="153" t="str">
        <f t="shared" si="23"/>
        <v/>
      </c>
      <c r="S196" s="151"/>
      <c r="T196" s="158"/>
      <c r="U196" s="137"/>
      <c r="V196" s="137"/>
      <c r="W196" s="156" t="str">
        <f t="shared" ref="W196:W259" si="27" xml:space="preserve"> IF(Z196 = "",
     "",
     TEXT(Z196, "mmmm"))</f>
        <v/>
      </c>
      <c r="X196" s="157"/>
      <c r="Y196" s="158"/>
      <c r="Z196" s="158"/>
      <c r="AA196" s="137" t="str">
        <f t="shared" ref="AA196:AA259" ca="1" si="28">IF(H196="", "", IF(U196="Open Sale", IF(TODAY()-H196=0, "0 Days", TEXT(TODAY()-H196, "0") &amp; " Days"), IF(U196="Closed Sale", AA196, "")))</f>
        <v/>
      </c>
      <c r="AB196" s="137" t="str">
        <f t="shared" ca="1" si="24"/>
        <v/>
      </c>
      <c r="AC196" s="160" t="str">
        <f t="shared" ca="1" si="25"/>
        <v/>
      </c>
      <c r="AD196" s="159" t="str">
        <f t="shared" ca="1" si="26"/>
        <v/>
      </c>
      <c r="AE196" s="161"/>
      <c r="AF196" s="161"/>
      <c r="AG196" s="161"/>
      <c r="AH196" s="137"/>
      <c r="AI196" s="164" t="str">
        <f t="shared" si="22"/>
        <v/>
      </c>
      <c r="AJ196" s="164" t="str">
        <f>IF(AND(OpenPendingCases[[#This Row],[Sale Status	]]="Open Sale",OpenPendingCases[[#This Row],[Potential Same Month]]="High"),TEXT(OpenPendingCases[[#This Row],[Request Entry Date]], "[$-en-us]mmmm"),"")</f>
        <v/>
      </c>
      <c r="AK196" s="165" t="str">
        <f>IFERROR(VALUE(SUBSTITUTE(OpenPendingCases[[#This Row],[Price]]," AED","")),"")</f>
        <v/>
      </c>
      <c r="AL196" s="165" t="str">
        <f>IFERROR(VALUE(LEFT(OpenPendingCases[[#This Row],[Price]],FIND(" ",OpenPendingCases[[#This Row],[Price]])-1)),"")</f>
        <v/>
      </c>
      <c r="AM196" s="165" t="str">
        <f>IFERROR(VALUE(_xlfn.TEXTBEFORE(OpenPendingCases[[#This Row],[Price]]," AED")),"")</f>
        <v/>
      </c>
      <c r="AN196" s="165"/>
    </row>
    <row r="197" spans="3:40" ht="18" hidden="1" x14ac:dyDescent="0.35">
      <c r="C197" s="134"/>
      <c r="D197" s="137" t="str">
        <f>IF($U197="Open Sale", IF(MAX($D$4:D196)+1=0, "", MAX($D$4:D196)+1), "")</f>
        <v/>
      </c>
      <c r="E197" s="137" t="str">
        <f>IF($U197="Pending Allocation", IF(MAX($E$4:E196)+1=0, "", MAX($E$4:E196)+1), "")</f>
        <v/>
      </c>
      <c r="F197" s="137"/>
      <c r="G197" s="137"/>
      <c r="H197" s="150"/>
      <c r="I197" s="150"/>
      <c r="J197" s="68" t="str">
        <f>IF(OpenPendingCases[[#This Row],[Timepiece Reference ]]="", "", IF(_xlfn.XLOOKUP(OpenPendingCases[[#This Row],[Timepiece Reference ]], Table1[[Timepiece Reference ]], Table1[CRC STOCK], "Not Found")="YES", "CRC Stock", "Boutique Stock"))</f>
        <v/>
      </c>
      <c r="K197" s="137" t="str">
        <f>IF(OpenPendingCases[[#This Row],[Timepiece Reference ]]="", "", IF(_xlfn.XLOOKUP(OpenPendingCases[[#This Row],[Timepiece Reference ]], Table1[[Timepiece Reference ]], Table1[CRC STOCK], "Not Found")="YES", "CRC Stock", "Boutique Stock"))</f>
        <v/>
      </c>
      <c r="L197" s="140"/>
      <c r="M197" s="141"/>
      <c r="N197" s="137"/>
      <c r="O197" s="134"/>
      <c r="P197" s="94" t="str">
        <f>IFERROR(VLOOKUP(TRIM(O197), Collection!$B$2:$D$1001, 2, FALSE), "")</f>
        <v/>
      </c>
      <c r="Q197" s="190" t="str">
        <f>IFERROR(VLOOKUP(TRIM(O197), Collection!$B$2:$D$1001, 3, FALSE), "")</f>
        <v/>
      </c>
      <c r="R197" s="153" t="str">
        <f t="shared" si="23"/>
        <v/>
      </c>
      <c r="S197" s="151"/>
      <c r="T197" s="158"/>
      <c r="U197" s="137"/>
      <c r="V197" s="137"/>
      <c r="W197" s="156" t="str">
        <f t="shared" si="27"/>
        <v/>
      </c>
      <c r="X197" s="157"/>
      <c r="Y197" s="158"/>
      <c r="Z197" s="158"/>
      <c r="AA197" s="137" t="str">
        <f t="shared" ca="1" si="28"/>
        <v/>
      </c>
      <c r="AB197" s="137" t="str">
        <f t="shared" ca="1" si="24"/>
        <v/>
      </c>
      <c r="AC197" s="160" t="str">
        <f t="shared" ca="1" si="25"/>
        <v/>
      </c>
      <c r="AD197" s="159" t="str">
        <f t="shared" ca="1" si="26"/>
        <v/>
      </c>
      <c r="AE197" s="161"/>
      <c r="AF197" s="161"/>
      <c r="AG197" s="161"/>
      <c r="AH197" s="137"/>
      <c r="AI197" s="164" t="str">
        <f t="shared" si="22"/>
        <v/>
      </c>
      <c r="AJ197" s="164" t="str">
        <f>IF(AND(OpenPendingCases[[#This Row],[Sale Status	]]="Open Sale",OpenPendingCases[[#This Row],[Potential Same Month]]="High"),TEXT(OpenPendingCases[[#This Row],[Request Entry Date]], "[$-en-us]mmmm"),"")</f>
        <v/>
      </c>
      <c r="AK197" s="165" t="str">
        <f>IFERROR(VALUE(SUBSTITUTE(OpenPendingCases[[#This Row],[Price]]," AED","")),"")</f>
        <v/>
      </c>
      <c r="AL197" s="165" t="str">
        <f>IFERROR(VALUE(LEFT(OpenPendingCases[[#This Row],[Price]],FIND(" ",OpenPendingCases[[#This Row],[Price]])-1)),"")</f>
        <v/>
      </c>
      <c r="AM197" s="165" t="str">
        <f>IFERROR(VALUE(_xlfn.TEXTBEFORE(OpenPendingCases[[#This Row],[Price]]," AED")),"")</f>
        <v/>
      </c>
      <c r="AN197" s="165"/>
    </row>
    <row r="198" spans="3:40" ht="18" hidden="1" x14ac:dyDescent="0.35">
      <c r="C198" s="134"/>
      <c r="D198" s="137" t="str">
        <f>IF($U198="Open Sale", IF(MAX($D$4:D197)+1=0, "", MAX($D$4:D197)+1), "")</f>
        <v/>
      </c>
      <c r="E198" s="137" t="str">
        <f>IF($U198="Pending Allocation", IF(MAX($E$4:E197)+1=0, "", MAX($E$4:E197)+1), "")</f>
        <v/>
      </c>
      <c r="F198" s="137"/>
      <c r="G198" s="137"/>
      <c r="H198" s="150"/>
      <c r="I198" s="150"/>
      <c r="J198" s="68" t="str">
        <f>IF(OpenPendingCases[[#This Row],[Timepiece Reference ]]="", "", IF(_xlfn.XLOOKUP(OpenPendingCases[[#This Row],[Timepiece Reference ]], Table1[[Timepiece Reference ]], Table1[CRC STOCK], "Not Found")="YES", "CRC Stock", "Boutique Stock"))</f>
        <v/>
      </c>
      <c r="K198" s="137" t="str">
        <f>IF(OpenPendingCases[[#This Row],[Timepiece Reference ]]="", "", IF(_xlfn.XLOOKUP(OpenPendingCases[[#This Row],[Timepiece Reference ]], Table1[[Timepiece Reference ]], Table1[CRC STOCK], "Not Found")="YES", "CRC Stock", "Boutique Stock"))</f>
        <v/>
      </c>
      <c r="L198" s="140"/>
      <c r="M198" s="141"/>
      <c r="N198" s="137"/>
      <c r="O198" s="134"/>
      <c r="P198" s="94" t="str">
        <f>IFERROR(VLOOKUP(TRIM(O198), Collection!$B$2:$D$1001, 2, FALSE), "")</f>
        <v/>
      </c>
      <c r="Q198" s="190" t="str">
        <f>IFERROR(VLOOKUP(TRIM(O198), Collection!$B$2:$D$1001, 3, FALSE), "")</f>
        <v/>
      </c>
      <c r="R198" s="153" t="str">
        <f t="shared" si="23"/>
        <v/>
      </c>
      <c r="S198" s="151"/>
      <c r="T198" s="158"/>
      <c r="U198" s="137"/>
      <c r="V198" s="137"/>
      <c r="W198" s="156" t="str">
        <f t="shared" si="27"/>
        <v/>
      </c>
      <c r="X198" s="157"/>
      <c r="Y198" s="158"/>
      <c r="Z198" s="158"/>
      <c r="AA198" s="137" t="str">
        <f t="shared" ca="1" si="28"/>
        <v/>
      </c>
      <c r="AB198" s="137" t="str">
        <f t="shared" ca="1" si="24"/>
        <v/>
      </c>
      <c r="AC198" s="160" t="str">
        <f t="shared" ca="1" si="25"/>
        <v/>
      </c>
      <c r="AD198" s="159" t="str">
        <f t="shared" ca="1" si="26"/>
        <v/>
      </c>
      <c r="AE198" s="161"/>
      <c r="AF198" s="161"/>
      <c r="AG198" s="161"/>
      <c r="AH198" s="137"/>
      <c r="AI198" s="164" t="str">
        <f t="shared" si="22"/>
        <v/>
      </c>
      <c r="AJ198" s="164" t="str">
        <f>IF(AND(OpenPendingCases[[#This Row],[Sale Status	]]="Open Sale",OpenPendingCases[[#This Row],[Potential Same Month]]="High"),TEXT(OpenPendingCases[[#This Row],[Request Entry Date]], "[$-en-us]mmmm"),"")</f>
        <v/>
      </c>
      <c r="AK198" s="165" t="str">
        <f>IFERROR(VALUE(SUBSTITUTE(OpenPendingCases[[#This Row],[Price]]," AED","")),"")</f>
        <v/>
      </c>
      <c r="AL198" s="165" t="str">
        <f>IFERROR(VALUE(LEFT(OpenPendingCases[[#This Row],[Price]],FIND(" ",OpenPendingCases[[#This Row],[Price]])-1)),"")</f>
        <v/>
      </c>
      <c r="AM198" s="165" t="str">
        <f>IFERROR(VALUE(_xlfn.TEXTBEFORE(OpenPendingCases[[#This Row],[Price]]," AED")),"")</f>
        <v/>
      </c>
      <c r="AN198" s="165"/>
    </row>
    <row r="199" spans="3:40" ht="18" hidden="1" x14ac:dyDescent="0.35">
      <c r="C199" s="134"/>
      <c r="D199" s="137" t="str">
        <f>IF($U199="Open Sale", IF(MAX($D$4:D198)+1=0, "", MAX($D$4:D198)+1), "")</f>
        <v/>
      </c>
      <c r="E199" s="137" t="str">
        <f>IF($U199="Pending Allocation", IF(MAX($E$4:E198)+1=0, "", MAX($E$4:E198)+1), "")</f>
        <v/>
      </c>
      <c r="F199" s="137"/>
      <c r="G199" s="137"/>
      <c r="H199" s="150"/>
      <c r="I199" s="150"/>
      <c r="J199" s="68" t="str">
        <f>IF(OpenPendingCases[[#This Row],[Timepiece Reference ]]="", "", IF(_xlfn.XLOOKUP(OpenPendingCases[[#This Row],[Timepiece Reference ]], Table1[[Timepiece Reference ]], Table1[CRC STOCK], "Not Found")="YES", "CRC Stock", "Boutique Stock"))</f>
        <v/>
      </c>
      <c r="K199" s="137" t="str">
        <f>IF(OpenPendingCases[[#This Row],[Timepiece Reference ]]="", "", IF(_xlfn.XLOOKUP(OpenPendingCases[[#This Row],[Timepiece Reference ]], Table1[[Timepiece Reference ]], Table1[CRC STOCK], "Not Found")="YES", "CRC Stock", "Boutique Stock"))</f>
        <v/>
      </c>
      <c r="L199" s="140"/>
      <c r="M199" s="141"/>
      <c r="N199" s="137"/>
      <c r="O199" s="134"/>
      <c r="P199" s="94" t="str">
        <f>IFERROR(VLOOKUP(TRIM(O199), Collection!$B$2:$D$1001, 2, FALSE), "")</f>
        <v/>
      </c>
      <c r="Q199" s="190" t="str">
        <f>IFERROR(VLOOKUP(TRIM(O199), Collection!$B$2:$D$1001, 3, FALSE), "")</f>
        <v/>
      </c>
      <c r="R199" s="153" t="str">
        <f t="shared" si="23"/>
        <v/>
      </c>
      <c r="S199" s="151"/>
      <c r="T199" s="158"/>
      <c r="U199" s="137"/>
      <c r="V199" s="137"/>
      <c r="W199" s="156" t="str">
        <f t="shared" si="27"/>
        <v/>
      </c>
      <c r="X199" s="157"/>
      <c r="Y199" s="158"/>
      <c r="Z199" s="158"/>
      <c r="AA199" s="137" t="str">
        <f t="shared" ca="1" si="28"/>
        <v/>
      </c>
      <c r="AB199" s="137" t="str">
        <f t="shared" ca="1" si="24"/>
        <v/>
      </c>
      <c r="AC199" s="160" t="str">
        <f t="shared" ca="1" si="25"/>
        <v/>
      </c>
      <c r="AD199" s="159" t="str">
        <f t="shared" ca="1" si="26"/>
        <v/>
      </c>
      <c r="AE199" s="161"/>
      <c r="AF199" s="161"/>
      <c r="AG199" s="161"/>
      <c r="AH199" s="137"/>
      <c r="AI199" s="164" t="str">
        <f t="shared" si="22"/>
        <v/>
      </c>
      <c r="AJ199" s="164" t="str">
        <f>IF(AND(OpenPendingCases[[#This Row],[Sale Status	]]="Open Sale",OpenPendingCases[[#This Row],[Potential Same Month]]="High"),TEXT(OpenPendingCases[[#This Row],[Request Entry Date]], "[$-en-us]mmmm"),"")</f>
        <v/>
      </c>
      <c r="AK199" s="165" t="str">
        <f>IFERROR(VALUE(SUBSTITUTE(OpenPendingCases[[#This Row],[Price]]," AED","")),"")</f>
        <v/>
      </c>
      <c r="AL199" s="165" t="str">
        <f>IFERROR(VALUE(LEFT(OpenPendingCases[[#This Row],[Price]],FIND(" ",OpenPendingCases[[#This Row],[Price]])-1)),"")</f>
        <v/>
      </c>
      <c r="AM199" s="165" t="str">
        <f>IFERROR(VALUE(_xlfn.TEXTBEFORE(OpenPendingCases[[#This Row],[Price]]," AED")),"")</f>
        <v/>
      </c>
      <c r="AN199" s="165"/>
    </row>
    <row r="200" spans="3:40" ht="18" hidden="1" x14ac:dyDescent="0.35">
      <c r="C200" s="134"/>
      <c r="D200" s="137" t="str">
        <f>IF($U200="Open Sale", IF(MAX($D$4:D199)+1=0, "", MAX($D$4:D199)+1), "")</f>
        <v/>
      </c>
      <c r="E200" s="137" t="str">
        <f>IF($U200="Pending Allocation", IF(MAX($E$4:E199)+1=0, "", MAX($E$4:E199)+1), "")</f>
        <v/>
      </c>
      <c r="F200" s="137"/>
      <c r="G200" s="137"/>
      <c r="H200" s="150"/>
      <c r="I200" s="150"/>
      <c r="J200" s="68" t="str">
        <f>IF(OpenPendingCases[[#This Row],[Timepiece Reference ]]="", "", IF(_xlfn.XLOOKUP(OpenPendingCases[[#This Row],[Timepiece Reference ]], Table1[[Timepiece Reference ]], Table1[CRC STOCK], "Not Found")="YES", "CRC Stock", "Boutique Stock"))</f>
        <v/>
      </c>
      <c r="K200" s="137" t="str">
        <f>IF(OpenPendingCases[[#This Row],[Timepiece Reference ]]="", "", IF(_xlfn.XLOOKUP(OpenPendingCases[[#This Row],[Timepiece Reference ]], Table1[[Timepiece Reference ]], Table1[CRC STOCK], "Not Found")="YES", "CRC Stock", "Boutique Stock"))</f>
        <v/>
      </c>
      <c r="L200" s="140"/>
      <c r="M200" s="141"/>
      <c r="N200" s="137"/>
      <c r="O200" s="134"/>
      <c r="P200" s="94" t="str">
        <f>IFERROR(VLOOKUP(TRIM(O200), Collection!$B$2:$D$1001, 2, FALSE), "")</f>
        <v/>
      </c>
      <c r="Q200" s="190" t="str">
        <f>IFERROR(VLOOKUP(TRIM(O200), Collection!$B$2:$D$1001, 3, FALSE), "")</f>
        <v/>
      </c>
      <c r="R200" s="153" t="str">
        <f t="shared" si="23"/>
        <v/>
      </c>
      <c r="S200" s="151"/>
      <c r="T200" s="158"/>
      <c r="U200" s="137"/>
      <c r="V200" s="137"/>
      <c r="W200" s="156" t="str">
        <f t="shared" si="27"/>
        <v/>
      </c>
      <c r="X200" s="157"/>
      <c r="Y200" s="158"/>
      <c r="Z200" s="158"/>
      <c r="AA200" s="137" t="str">
        <f t="shared" ca="1" si="28"/>
        <v/>
      </c>
      <c r="AB200" s="137" t="str">
        <f t="shared" ca="1" si="24"/>
        <v/>
      </c>
      <c r="AC200" s="160" t="str">
        <f t="shared" ca="1" si="25"/>
        <v/>
      </c>
      <c r="AD200" s="159" t="str">
        <f t="shared" ca="1" si="26"/>
        <v/>
      </c>
      <c r="AE200" s="161"/>
      <c r="AF200" s="161"/>
      <c r="AG200" s="161"/>
      <c r="AH200" s="137"/>
      <c r="AI200" s="164" t="str">
        <f t="shared" si="22"/>
        <v/>
      </c>
      <c r="AJ200" s="164" t="str">
        <f>IF(AND(OpenPendingCases[[#This Row],[Sale Status	]]="Open Sale",OpenPendingCases[[#This Row],[Potential Same Month]]="High"),TEXT(OpenPendingCases[[#This Row],[Request Entry Date]], "[$-en-us]mmmm"),"")</f>
        <v/>
      </c>
      <c r="AK200" s="165" t="str">
        <f>IFERROR(VALUE(SUBSTITUTE(OpenPendingCases[[#This Row],[Price]]," AED","")),"")</f>
        <v/>
      </c>
      <c r="AL200" s="165" t="str">
        <f>IFERROR(VALUE(LEFT(OpenPendingCases[[#This Row],[Price]],FIND(" ",OpenPendingCases[[#This Row],[Price]])-1)),"")</f>
        <v/>
      </c>
      <c r="AM200" s="165" t="str">
        <f>IFERROR(VALUE(_xlfn.TEXTBEFORE(OpenPendingCases[[#This Row],[Price]]," AED")),"")</f>
        <v/>
      </c>
      <c r="AN200" s="165"/>
    </row>
    <row r="201" spans="3:40" ht="18" hidden="1" x14ac:dyDescent="0.35">
      <c r="C201" s="134"/>
      <c r="D201" s="137" t="str">
        <f>IF($U201="Open Sale", IF(MAX($D$4:D200)+1=0, "", MAX($D$4:D200)+1), "")</f>
        <v/>
      </c>
      <c r="E201" s="137" t="str">
        <f>IF($U201="Pending Allocation", IF(MAX($E$4:E200)+1=0, "", MAX($E$4:E200)+1), "")</f>
        <v/>
      </c>
      <c r="F201" s="137"/>
      <c r="G201" s="137"/>
      <c r="H201" s="150"/>
      <c r="I201" s="150"/>
      <c r="J201" s="68" t="str">
        <f>IF(OpenPendingCases[[#This Row],[Timepiece Reference ]]="", "", IF(_xlfn.XLOOKUP(OpenPendingCases[[#This Row],[Timepiece Reference ]], Table1[[Timepiece Reference ]], Table1[CRC STOCK], "Not Found")="YES", "CRC Stock", "Boutique Stock"))</f>
        <v/>
      </c>
      <c r="K201" s="137" t="str">
        <f>IF(OpenPendingCases[[#This Row],[Timepiece Reference ]]="", "", IF(_xlfn.XLOOKUP(OpenPendingCases[[#This Row],[Timepiece Reference ]], Table1[[Timepiece Reference ]], Table1[CRC STOCK], "Not Found")="YES", "CRC Stock", "Boutique Stock"))</f>
        <v/>
      </c>
      <c r="L201" s="140"/>
      <c r="M201" s="141"/>
      <c r="N201" s="137"/>
      <c r="O201" s="134"/>
      <c r="P201" s="94" t="str">
        <f>IFERROR(VLOOKUP(TRIM(O201), Collection!$B$2:$D$1001, 2, FALSE), "")</f>
        <v/>
      </c>
      <c r="Q201" s="190" t="str">
        <f>IFERROR(VLOOKUP(TRIM(O201), Collection!$B$2:$D$1001, 3, FALSE), "")</f>
        <v/>
      </c>
      <c r="R201" s="153" t="str">
        <f t="shared" si="23"/>
        <v/>
      </c>
      <c r="S201" s="151"/>
      <c r="T201" s="158"/>
      <c r="U201" s="137"/>
      <c r="V201" s="137"/>
      <c r="W201" s="156" t="str">
        <f t="shared" si="27"/>
        <v/>
      </c>
      <c r="X201" s="157"/>
      <c r="Y201" s="158"/>
      <c r="Z201" s="158"/>
      <c r="AA201" s="137" t="str">
        <f t="shared" ca="1" si="28"/>
        <v/>
      </c>
      <c r="AB201" s="137" t="str">
        <f t="shared" ca="1" si="24"/>
        <v/>
      </c>
      <c r="AC201" s="160" t="str">
        <f t="shared" ca="1" si="25"/>
        <v/>
      </c>
      <c r="AD201" s="159" t="str">
        <f t="shared" ca="1" si="26"/>
        <v/>
      </c>
      <c r="AE201" s="161"/>
      <c r="AF201" s="161"/>
      <c r="AG201" s="161"/>
      <c r="AH201" s="137"/>
      <c r="AI201" s="164" t="str">
        <f t="shared" si="22"/>
        <v/>
      </c>
      <c r="AJ201" s="164" t="str">
        <f>IF(AND(OpenPendingCases[[#This Row],[Sale Status	]]="Open Sale",OpenPendingCases[[#This Row],[Potential Same Month]]="High"),TEXT(OpenPendingCases[[#This Row],[Request Entry Date]], "[$-en-us]mmmm"),"")</f>
        <v/>
      </c>
      <c r="AK201" s="165" t="str">
        <f>IFERROR(VALUE(SUBSTITUTE(OpenPendingCases[[#This Row],[Price]]," AED","")),"")</f>
        <v/>
      </c>
      <c r="AL201" s="165" t="str">
        <f>IFERROR(VALUE(LEFT(OpenPendingCases[[#This Row],[Price]],FIND(" ",OpenPendingCases[[#This Row],[Price]])-1)),"")</f>
        <v/>
      </c>
      <c r="AM201" s="165" t="str">
        <f>IFERROR(VALUE(_xlfn.TEXTBEFORE(OpenPendingCases[[#This Row],[Price]]," AED")),"")</f>
        <v/>
      </c>
      <c r="AN201" s="165"/>
    </row>
    <row r="202" spans="3:40" ht="18" hidden="1" x14ac:dyDescent="0.35">
      <c r="C202" s="134"/>
      <c r="D202" s="137" t="str">
        <f>IF($U202="Open Sale", IF(MAX($D$4:D201)+1=0, "", MAX($D$4:D201)+1), "")</f>
        <v/>
      </c>
      <c r="E202" s="137" t="str">
        <f>IF($U202="Pending Allocation", IF(MAX($E$4:E201)+1=0, "", MAX($E$4:E201)+1), "")</f>
        <v/>
      </c>
      <c r="F202" s="137"/>
      <c r="G202" s="137"/>
      <c r="H202" s="150"/>
      <c r="I202" s="150"/>
      <c r="J202" s="68" t="str">
        <f>IF(OpenPendingCases[[#This Row],[Timepiece Reference ]]="", "", IF(_xlfn.XLOOKUP(OpenPendingCases[[#This Row],[Timepiece Reference ]], Table1[[Timepiece Reference ]], Table1[CRC STOCK], "Not Found")="YES", "CRC Stock", "Boutique Stock"))</f>
        <v/>
      </c>
      <c r="K202" s="137" t="str">
        <f>IF(OpenPendingCases[[#This Row],[Timepiece Reference ]]="", "", IF(_xlfn.XLOOKUP(OpenPendingCases[[#This Row],[Timepiece Reference ]], Table1[[Timepiece Reference ]], Table1[CRC STOCK], "Not Found")="YES", "CRC Stock", "Boutique Stock"))</f>
        <v/>
      </c>
      <c r="L202" s="140"/>
      <c r="M202" s="141"/>
      <c r="N202" s="137"/>
      <c r="O202" s="134"/>
      <c r="P202" s="94" t="str">
        <f>IFERROR(VLOOKUP(TRIM(O202), Collection!$B$2:$D$1001, 2, FALSE), "")</f>
        <v/>
      </c>
      <c r="Q202" s="190" t="str">
        <f>IFERROR(VLOOKUP(TRIM(O202), Collection!$B$2:$D$1001, 3, FALSE), "")</f>
        <v/>
      </c>
      <c r="R202" s="153" t="str">
        <f t="shared" si="23"/>
        <v/>
      </c>
      <c r="S202" s="151"/>
      <c r="T202" s="158"/>
      <c r="U202" s="137"/>
      <c r="V202" s="137"/>
      <c r="W202" s="156" t="str">
        <f t="shared" si="27"/>
        <v/>
      </c>
      <c r="X202" s="157"/>
      <c r="Y202" s="158"/>
      <c r="Z202" s="158"/>
      <c r="AA202" s="137" t="str">
        <f t="shared" ca="1" si="28"/>
        <v/>
      </c>
      <c r="AB202" s="137" t="str">
        <f t="shared" ca="1" si="24"/>
        <v/>
      </c>
      <c r="AC202" s="160" t="str">
        <f t="shared" ca="1" si="25"/>
        <v/>
      </c>
      <c r="AD202" s="159" t="str">
        <f t="shared" ca="1" si="26"/>
        <v/>
      </c>
      <c r="AE202" s="161"/>
      <c r="AF202" s="161"/>
      <c r="AG202" s="161"/>
      <c r="AH202" s="137"/>
      <c r="AI202" s="164" t="str">
        <f t="shared" si="22"/>
        <v/>
      </c>
      <c r="AJ202" s="164" t="str">
        <f>IF(AND(OpenPendingCases[[#This Row],[Sale Status	]]="Open Sale",OpenPendingCases[[#This Row],[Potential Same Month]]="High"),TEXT(OpenPendingCases[[#This Row],[Request Entry Date]], "[$-en-us]mmmm"),"")</f>
        <v/>
      </c>
      <c r="AK202" s="165" t="str">
        <f>IFERROR(VALUE(SUBSTITUTE(OpenPendingCases[[#This Row],[Price]]," AED","")),"")</f>
        <v/>
      </c>
      <c r="AL202" s="165" t="str">
        <f>IFERROR(VALUE(LEFT(OpenPendingCases[[#This Row],[Price]],FIND(" ",OpenPendingCases[[#This Row],[Price]])-1)),"")</f>
        <v/>
      </c>
      <c r="AM202" s="165" t="str">
        <f>IFERROR(VALUE(_xlfn.TEXTBEFORE(OpenPendingCases[[#This Row],[Price]]," AED")),"")</f>
        <v/>
      </c>
      <c r="AN202" s="165"/>
    </row>
    <row r="203" spans="3:40" ht="18" hidden="1" x14ac:dyDescent="0.35">
      <c r="C203" s="134"/>
      <c r="D203" s="137" t="str">
        <f>IF($U203="Open Sale", IF(MAX($D$4:D202)+1=0, "", MAX($D$4:D202)+1), "")</f>
        <v/>
      </c>
      <c r="E203" s="137" t="str">
        <f>IF($U203="Pending Allocation", IF(MAX($E$4:E202)+1=0, "", MAX($E$4:E202)+1), "")</f>
        <v/>
      </c>
      <c r="F203" s="137"/>
      <c r="G203" s="137"/>
      <c r="H203" s="150"/>
      <c r="I203" s="150"/>
      <c r="J203" s="68" t="str">
        <f>IF(OpenPendingCases[[#This Row],[Timepiece Reference ]]="", "", IF(_xlfn.XLOOKUP(OpenPendingCases[[#This Row],[Timepiece Reference ]], Table1[[Timepiece Reference ]], Table1[CRC STOCK], "Not Found")="YES", "CRC Stock", "Boutique Stock"))</f>
        <v/>
      </c>
      <c r="K203" s="137" t="str">
        <f>IF(OpenPendingCases[[#This Row],[Timepiece Reference ]]="", "", IF(_xlfn.XLOOKUP(OpenPendingCases[[#This Row],[Timepiece Reference ]], Table1[[Timepiece Reference ]], Table1[CRC STOCK], "Not Found")="YES", "CRC Stock", "Boutique Stock"))</f>
        <v/>
      </c>
      <c r="L203" s="140"/>
      <c r="M203" s="141"/>
      <c r="N203" s="137"/>
      <c r="O203" s="134"/>
      <c r="P203" s="94" t="str">
        <f>IFERROR(VLOOKUP(TRIM(O203), Collection!$B$2:$D$1001, 2, FALSE), "")</f>
        <v/>
      </c>
      <c r="Q203" s="190" t="str">
        <f>IFERROR(VLOOKUP(TRIM(O203), Collection!$B$2:$D$1001, 3, FALSE), "")</f>
        <v/>
      </c>
      <c r="R203" s="153" t="str">
        <f t="shared" si="23"/>
        <v/>
      </c>
      <c r="S203" s="151"/>
      <c r="T203" s="158"/>
      <c r="U203" s="137"/>
      <c r="V203" s="137"/>
      <c r="W203" s="156" t="str">
        <f t="shared" si="27"/>
        <v/>
      </c>
      <c r="X203" s="157"/>
      <c r="Y203" s="158"/>
      <c r="Z203" s="158"/>
      <c r="AA203" s="137" t="str">
        <f t="shared" ca="1" si="28"/>
        <v/>
      </c>
      <c r="AB203" s="137" t="str">
        <f t="shared" ca="1" si="24"/>
        <v/>
      </c>
      <c r="AC203" s="160" t="str">
        <f t="shared" ca="1" si="25"/>
        <v/>
      </c>
      <c r="AD203" s="159" t="str">
        <f t="shared" ca="1" si="26"/>
        <v/>
      </c>
      <c r="AE203" s="161"/>
      <c r="AF203" s="161"/>
      <c r="AG203" s="161"/>
      <c r="AH203" s="137"/>
      <c r="AI203" s="164" t="str">
        <f t="shared" si="22"/>
        <v/>
      </c>
      <c r="AJ203" s="164" t="str">
        <f>IF(AND(OpenPendingCases[[#This Row],[Sale Status	]]="Open Sale",OpenPendingCases[[#This Row],[Potential Same Month]]="High"),TEXT(OpenPendingCases[[#This Row],[Request Entry Date]], "[$-en-us]mmmm"),"")</f>
        <v/>
      </c>
      <c r="AK203" s="165" t="str">
        <f>IFERROR(VALUE(SUBSTITUTE(OpenPendingCases[[#This Row],[Price]]," AED","")),"")</f>
        <v/>
      </c>
      <c r="AL203" s="165" t="str">
        <f>IFERROR(VALUE(LEFT(OpenPendingCases[[#This Row],[Price]],FIND(" ",OpenPendingCases[[#This Row],[Price]])-1)),"")</f>
        <v/>
      </c>
      <c r="AM203" s="165" t="str">
        <f>IFERROR(VALUE(_xlfn.TEXTBEFORE(OpenPendingCases[[#This Row],[Price]]," AED")),"")</f>
        <v/>
      </c>
      <c r="AN203" s="165"/>
    </row>
    <row r="204" spans="3:40" ht="18" hidden="1" x14ac:dyDescent="0.35">
      <c r="C204" s="134"/>
      <c r="D204" s="137" t="str">
        <f>IF($U204="Open Sale", IF(MAX($D$4:D203)+1=0, "", MAX($D$4:D203)+1), "")</f>
        <v/>
      </c>
      <c r="E204" s="137" t="str">
        <f>IF($U204="Pending Allocation", IF(MAX($E$4:E203)+1=0, "", MAX($E$4:E203)+1), "")</f>
        <v/>
      </c>
      <c r="F204" s="137"/>
      <c r="G204" s="137"/>
      <c r="H204" s="150"/>
      <c r="I204" s="150"/>
      <c r="J204" s="68" t="str">
        <f>IF(OpenPendingCases[[#This Row],[Timepiece Reference ]]="", "", IF(_xlfn.XLOOKUP(OpenPendingCases[[#This Row],[Timepiece Reference ]], Table1[[Timepiece Reference ]], Table1[CRC STOCK], "Not Found")="YES", "CRC Stock", "Boutique Stock"))</f>
        <v/>
      </c>
      <c r="K204" s="137" t="str">
        <f>IF(OpenPendingCases[[#This Row],[Timepiece Reference ]]="", "", IF(_xlfn.XLOOKUP(OpenPendingCases[[#This Row],[Timepiece Reference ]], Table1[[Timepiece Reference ]], Table1[CRC STOCK], "Not Found")="YES", "CRC Stock", "Boutique Stock"))</f>
        <v/>
      </c>
      <c r="L204" s="140"/>
      <c r="M204" s="141"/>
      <c r="N204" s="137"/>
      <c r="O204" s="134"/>
      <c r="P204" s="94" t="str">
        <f>IFERROR(VLOOKUP(TRIM(O204), Collection!$B$2:$D$1001, 2, FALSE), "")</f>
        <v/>
      </c>
      <c r="Q204" s="190" t="str">
        <f>IFERROR(VLOOKUP(TRIM(O204), Collection!$B$2:$D$1001, 3, FALSE), "")</f>
        <v/>
      </c>
      <c r="R204" s="153" t="str">
        <f t="shared" si="23"/>
        <v/>
      </c>
      <c r="S204" s="151"/>
      <c r="T204" s="158"/>
      <c r="U204" s="137"/>
      <c r="V204" s="137"/>
      <c r="W204" s="156" t="str">
        <f t="shared" si="27"/>
        <v/>
      </c>
      <c r="X204" s="157"/>
      <c r="Y204" s="158"/>
      <c r="Z204" s="158"/>
      <c r="AA204" s="137" t="str">
        <f t="shared" ca="1" si="28"/>
        <v/>
      </c>
      <c r="AB204" s="137" t="str">
        <f t="shared" ca="1" si="24"/>
        <v/>
      </c>
      <c r="AC204" s="160" t="str">
        <f t="shared" ca="1" si="25"/>
        <v/>
      </c>
      <c r="AD204" s="159" t="str">
        <f t="shared" ca="1" si="26"/>
        <v/>
      </c>
      <c r="AE204" s="161"/>
      <c r="AF204" s="161"/>
      <c r="AG204" s="161"/>
      <c r="AH204" s="137"/>
      <c r="AI204" s="164" t="str">
        <f t="shared" si="22"/>
        <v/>
      </c>
      <c r="AJ204" s="164" t="str">
        <f>IF(AND(OpenPendingCases[[#This Row],[Sale Status	]]="Open Sale",OpenPendingCases[[#This Row],[Potential Same Month]]="High"),TEXT(OpenPendingCases[[#This Row],[Request Entry Date]], "[$-en-us]mmmm"),"")</f>
        <v/>
      </c>
      <c r="AK204" s="165" t="str">
        <f>IFERROR(VALUE(SUBSTITUTE(OpenPendingCases[[#This Row],[Price]]," AED","")),"")</f>
        <v/>
      </c>
      <c r="AL204" s="165" t="str">
        <f>IFERROR(VALUE(LEFT(OpenPendingCases[[#This Row],[Price]],FIND(" ",OpenPendingCases[[#This Row],[Price]])-1)),"")</f>
        <v/>
      </c>
      <c r="AM204" s="165" t="str">
        <f>IFERROR(VALUE(_xlfn.TEXTBEFORE(OpenPendingCases[[#This Row],[Price]]," AED")),"")</f>
        <v/>
      </c>
      <c r="AN204" s="165"/>
    </row>
    <row r="205" spans="3:40" ht="18" hidden="1" x14ac:dyDescent="0.35">
      <c r="C205" s="134"/>
      <c r="D205" s="137" t="str">
        <f>IF($U205="Open Sale", IF(MAX($D$4:D204)+1=0, "", MAX($D$4:D204)+1), "")</f>
        <v/>
      </c>
      <c r="E205" s="137" t="str">
        <f>IF($U205="Pending Allocation", IF(MAX($E$4:E204)+1=0, "", MAX($E$4:E204)+1), "")</f>
        <v/>
      </c>
      <c r="F205" s="137"/>
      <c r="G205" s="137"/>
      <c r="H205" s="150"/>
      <c r="I205" s="150"/>
      <c r="J205" s="68" t="str">
        <f>IF(OpenPendingCases[[#This Row],[Timepiece Reference ]]="", "", IF(_xlfn.XLOOKUP(OpenPendingCases[[#This Row],[Timepiece Reference ]], Table1[[Timepiece Reference ]], Table1[CRC STOCK], "Not Found")="YES", "CRC Stock", "Boutique Stock"))</f>
        <v/>
      </c>
      <c r="K205" s="137" t="str">
        <f>IF(OpenPendingCases[[#This Row],[Timepiece Reference ]]="", "", IF(_xlfn.XLOOKUP(OpenPendingCases[[#This Row],[Timepiece Reference ]], Table1[[Timepiece Reference ]], Table1[CRC STOCK], "Not Found")="YES", "CRC Stock", "Boutique Stock"))</f>
        <v/>
      </c>
      <c r="L205" s="140"/>
      <c r="M205" s="141"/>
      <c r="N205" s="137"/>
      <c r="O205" s="134"/>
      <c r="P205" s="94" t="str">
        <f>IFERROR(VLOOKUP(TRIM(O205), Collection!$B$2:$D$1001, 2, FALSE), "")</f>
        <v/>
      </c>
      <c r="Q205" s="190" t="str">
        <f>IFERROR(VLOOKUP(TRIM(O205), Collection!$B$2:$D$1001, 3, FALSE), "")</f>
        <v/>
      </c>
      <c r="R205" s="153" t="str">
        <f t="shared" si="23"/>
        <v/>
      </c>
      <c r="S205" s="151"/>
      <c r="T205" s="158"/>
      <c r="U205" s="137"/>
      <c r="V205" s="137"/>
      <c r="W205" s="156" t="str">
        <f t="shared" si="27"/>
        <v/>
      </c>
      <c r="X205" s="157"/>
      <c r="Y205" s="158"/>
      <c r="Z205" s="158"/>
      <c r="AA205" s="137" t="str">
        <f t="shared" ca="1" si="28"/>
        <v/>
      </c>
      <c r="AB205" s="137" t="str">
        <f t="shared" ca="1" si="24"/>
        <v/>
      </c>
      <c r="AC205" s="160" t="str">
        <f t="shared" ca="1" si="25"/>
        <v/>
      </c>
      <c r="AD205" s="159" t="str">
        <f t="shared" ca="1" si="26"/>
        <v/>
      </c>
      <c r="AE205" s="161"/>
      <c r="AF205" s="161"/>
      <c r="AG205" s="161"/>
      <c r="AH205" s="137"/>
      <c r="AI205" s="164" t="str">
        <f t="shared" si="22"/>
        <v/>
      </c>
      <c r="AJ205" s="164" t="str">
        <f>IF(AND(OpenPendingCases[[#This Row],[Sale Status	]]="Open Sale",OpenPendingCases[[#This Row],[Potential Same Month]]="High"),TEXT(OpenPendingCases[[#This Row],[Request Entry Date]], "[$-en-us]mmmm"),"")</f>
        <v/>
      </c>
      <c r="AK205" s="165" t="str">
        <f>IFERROR(VALUE(SUBSTITUTE(OpenPendingCases[[#This Row],[Price]]," AED","")),"")</f>
        <v/>
      </c>
      <c r="AL205" s="165" t="str">
        <f>IFERROR(VALUE(LEFT(OpenPendingCases[[#This Row],[Price]],FIND(" ",OpenPendingCases[[#This Row],[Price]])-1)),"")</f>
        <v/>
      </c>
      <c r="AM205" s="165" t="str">
        <f>IFERROR(VALUE(_xlfn.TEXTBEFORE(OpenPendingCases[[#This Row],[Price]]," AED")),"")</f>
        <v/>
      </c>
      <c r="AN205" s="165"/>
    </row>
    <row r="206" spans="3:40" ht="18" hidden="1" x14ac:dyDescent="0.35">
      <c r="C206" s="134"/>
      <c r="D206" s="137" t="str">
        <f>IF($U206="Open Sale", IF(MAX($D$4:D205)+1=0, "", MAX($D$4:D205)+1), "")</f>
        <v/>
      </c>
      <c r="E206" s="137" t="str">
        <f>IF($U206="Pending Allocation", IF(MAX($E$4:E205)+1=0, "", MAX($E$4:E205)+1), "")</f>
        <v/>
      </c>
      <c r="F206" s="137"/>
      <c r="G206" s="137"/>
      <c r="H206" s="150"/>
      <c r="I206" s="150"/>
      <c r="J206" s="68" t="str">
        <f>IF(OpenPendingCases[[#This Row],[Timepiece Reference ]]="", "", IF(_xlfn.XLOOKUP(OpenPendingCases[[#This Row],[Timepiece Reference ]], Table1[[Timepiece Reference ]], Table1[CRC STOCK], "Not Found")="YES", "CRC Stock", "Boutique Stock"))</f>
        <v/>
      </c>
      <c r="K206" s="137" t="str">
        <f>IF(OpenPendingCases[[#This Row],[Timepiece Reference ]]="", "", IF(_xlfn.XLOOKUP(OpenPendingCases[[#This Row],[Timepiece Reference ]], Table1[[Timepiece Reference ]], Table1[CRC STOCK], "Not Found")="YES", "CRC Stock", "Boutique Stock"))</f>
        <v/>
      </c>
      <c r="L206" s="140"/>
      <c r="M206" s="141"/>
      <c r="N206" s="137"/>
      <c r="O206" s="134"/>
      <c r="P206" s="94" t="str">
        <f>IFERROR(VLOOKUP(TRIM(O206), Collection!$B$2:$D$1001, 2, FALSE), "")</f>
        <v/>
      </c>
      <c r="Q206" s="190" t="str">
        <f>IFERROR(VLOOKUP(TRIM(O206), Collection!$B$2:$D$1001, 3, FALSE), "")</f>
        <v/>
      </c>
      <c r="R206" s="153" t="str">
        <f t="shared" si="23"/>
        <v/>
      </c>
      <c r="S206" s="151"/>
      <c r="T206" s="158"/>
      <c r="U206" s="137"/>
      <c r="V206" s="137"/>
      <c r="W206" s="156" t="str">
        <f t="shared" si="27"/>
        <v/>
      </c>
      <c r="X206" s="157"/>
      <c r="Y206" s="158"/>
      <c r="Z206" s="158"/>
      <c r="AA206" s="137" t="str">
        <f t="shared" ca="1" si="28"/>
        <v/>
      </c>
      <c r="AB206" s="137" t="str">
        <f t="shared" ca="1" si="24"/>
        <v/>
      </c>
      <c r="AC206" s="160" t="str">
        <f t="shared" ca="1" si="25"/>
        <v/>
      </c>
      <c r="AD206" s="159" t="str">
        <f t="shared" ca="1" si="26"/>
        <v/>
      </c>
      <c r="AE206" s="161"/>
      <c r="AF206" s="161"/>
      <c r="AG206" s="161"/>
      <c r="AH206" s="137"/>
      <c r="AI206" s="164" t="str">
        <f t="shared" si="22"/>
        <v/>
      </c>
      <c r="AJ206" s="164" t="str">
        <f>IF(AND(OpenPendingCases[[#This Row],[Sale Status	]]="Open Sale",OpenPendingCases[[#This Row],[Potential Same Month]]="High"),TEXT(OpenPendingCases[[#This Row],[Request Entry Date]], "[$-en-us]mmmm"),"")</f>
        <v/>
      </c>
      <c r="AK206" s="165" t="str">
        <f>IFERROR(VALUE(SUBSTITUTE(OpenPendingCases[[#This Row],[Price]]," AED","")),"")</f>
        <v/>
      </c>
      <c r="AL206" s="165" t="str">
        <f>IFERROR(VALUE(LEFT(OpenPendingCases[[#This Row],[Price]],FIND(" ",OpenPendingCases[[#This Row],[Price]])-1)),"")</f>
        <v/>
      </c>
      <c r="AM206" s="165" t="str">
        <f>IFERROR(VALUE(_xlfn.TEXTBEFORE(OpenPendingCases[[#This Row],[Price]]," AED")),"")</f>
        <v/>
      </c>
      <c r="AN206" s="165"/>
    </row>
    <row r="207" spans="3:40" ht="18" hidden="1" x14ac:dyDescent="0.35">
      <c r="C207" s="134"/>
      <c r="D207" s="137" t="str">
        <f>IF($U207="Open Sale", IF(MAX($D$4:D206)+1=0, "", MAX($D$4:D206)+1), "")</f>
        <v/>
      </c>
      <c r="E207" s="137" t="str">
        <f>IF($U207="Pending Allocation", IF(MAX($E$4:E206)+1=0, "", MAX($E$4:E206)+1), "")</f>
        <v/>
      </c>
      <c r="F207" s="137"/>
      <c r="G207" s="137"/>
      <c r="H207" s="150"/>
      <c r="I207" s="150"/>
      <c r="J207" s="68" t="str">
        <f>IF(OpenPendingCases[[#This Row],[Timepiece Reference ]]="", "", IF(_xlfn.XLOOKUP(OpenPendingCases[[#This Row],[Timepiece Reference ]], Table1[[Timepiece Reference ]], Table1[CRC STOCK], "Not Found")="YES", "CRC Stock", "Boutique Stock"))</f>
        <v/>
      </c>
      <c r="K207" s="137" t="str">
        <f>IF(OpenPendingCases[[#This Row],[Timepiece Reference ]]="", "", IF(_xlfn.XLOOKUP(OpenPendingCases[[#This Row],[Timepiece Reference ]], Table1[[Timepiece Reference ]], Table1[CRC STOCK], "Not Found")="YES", "CRC Stock", "Boutique Stock"))</f>
        <v/>
      </c>
      <c r="L207" s="140"/>
      <c r="M207" s="141"/>
      <c r="N207" s="137"/>
      <c r="O207" s="134"/>
      <c r="P207" s="94" t="str">
        <f>IFERROR(VLOOKUP(TRIM(O207), Collection!$B$2:$D$1001, 2, FALSE), "")</f>
        <v/>
      </c>
      <c r="Q207" s="190" t="str">
        <f>IFERROR(VLOOKUP(TRIM(O207), Collection!$B$2:$D$1001, 3, FALSE), "")</f>
        <v/>
      </c>
      <c r="R207" s="153" t="str">
        <f t="shared" si="23"/>
        <v/>
      </c>
      <c r="S207" s="151"/>
      <c r="T207" s="158"/>
      <c r="U207" s="137"/>
      <c r="V207" s="137"/>
      <c r="W207" s="156" t="str">
        <f t="shared" si="27"/>
        <v/>
      </c>
      <c r="X207" s="157"/>
      <c r="Y207" s="158"/>
      <c r="Z207" s="158"/>
      <c r="AA207" s="137" t="str">
        <f t="shared" ca="1" si="28"/>
        <v/>
      </c>
      <c r="AB207" s="137" t="str">
        <f t="shared" ca="1" si="24"/>
        <v/>
      </c>
      <c r="AC207" s="160" t="str">
        <f t="shared" ca="1" si="25"/>
        <v/>
      </c>
      <c r="AD207" s="159" t="str">
        <f t="shared" ca="1" si="26"/>
        <v/>
      </c>
      <c r="AE207" s="161"/>
      <c r="AF207" s="161"/>
      <c r="AG207" s="161"/>
      <c r="AH207" s="137"/>
      <c r="AI207" s="164" t="str">
        <f t="shared" si="22"/>
        <v/>
      </c>
      <c r="AJ207" s="164" t="str">
        <f>IF(AND(OpenPendingCases[[#This Row],[Sale Status	]]="Open Sale",OpenPendingCases[[#This Row],[Potential Same Month]]="High"),TEXT(OpenPendingCases[[#This Row],[Request Entry Date]], "[$-en-us]mmmm"),"")</f>
        <v/>
      </c>
      <c r="AK207" s="165" t="str">
        <f>IFERROR(VALUE(SUBSTITUTE(OpenPendingCases[[#This Row],[Price]]," AED","")),"")</f>
        <v/>
      </c>
      <c r="AL207" s="165" t="str">
        <f>IFERROR(VALUE(LEFT(OpenPendingCases[[#This Row],[Price]],FIND(" ",OpenPendingCases[[#This Row],[Price]])-1)),"")</f>
        <v/>
      </c>
      <c r="AM207" s="165" t="str">
        <f>IFERROR(VALUE(_xlfn.TEXTBEFORE(OpenPendingCases[[#This Row],[Price]]," AED")),"")</f>
        <v/>
      </c>
      <c r="AN207" s="165"/>
    </row>
    <row r="208" spans="3:40" ht="18" hidden="1" x14ac:dyDescent="0.35">
      <c r="C208" s="134"/>
      <c r="D208" s="137" t="str">
        <f>IF($U208="Open Sale", IF(MAX($D$4:D207)+1=0, "", MAX($D$4:D207)+1), "")</f>
        <v/>
      </c>
      <c r="E208" s="137" t="str">
        <f>IF($U208="Pending Allocation", IF(MAX($E$4:E207)+1=0, "", MAX($E$4:E207)+1), "")</f>
        <v/>
      </c>
      <c r="F208" s="137"/>
      <c r="G208" s="137"/>
      <c r="H208" s="150"/>
      <c r="I208" s="150"/>
      <c r="J208" s="68" t="str">
        <f>IF(OpenPendingCases[[#This Row],[Timepiece Reference ]]="", "", IF(_xlfn.XLOOKUP(OpenPendingCases[[#This Row],[Timepiece Reference ]], Table1[[Timepiece Reference ]], Table1[CRC STOCK], "Not Found")="YES", "CRC Stock", "Boutique Stock"))</f>
        <v/>
      </c>
      <c r="K208" s="137" t="str">
        <f>IF(OpenPendingCases[[#This Row],[Timepiece Reference ]]="", "", IF(_xlfn.XLOOKUP(OpenPendingCases[[#This Row],[Timepiece Reference ]], Table1[[Timepiece Reference ]], Table1[CRC STOCK], "Not Found")="YES", "CRC Stock", "Boutique Stock"))</f>
        <v/>
      </c>
      <c r="L208" s="140"/>
      <c r="M208" s="141"/>
      <c r="N208" s="137"/>
      <c r="O208" s="134"/>
      <c r="P208" s="94" t="str">
        <f>IFERROR(VLOOKUP(TRIM(O208), Collection!$B$2:$D$1001, 2, FALSE), "")</f>
        <v/>
      </c>
      <c r="Q208" s="190" t="str">
        <f>IFERROR(VLOOKUP(TRIM(O208), Collection!$B$2:$D$1001, 3, FALSE), "")</f>
        <v/>
      </c>
      <c r="R208" s="153" t="str">
        <f t="shared" si="23"/>
        <v/>
      </c>
      <c r="S208" s="151"/>
      <c r="T208" s="158"/>
      <c r="U208" s="137"/>
      <c r="V208" s="137"/>
      <c r="W208" s="156" t="str">
        <f t="shared" si="27"/>
        <v/>
      </c>
      <c r="X208" s="157"/>
      <c r="Y208" s="158"/>
      <c r="Z208" s="158"/>
      <c r="AA208" s="137" t="str">
        <f t="shared" ca="1" si="28"/>
        <v/>
      </c>
      <c r="AB208" s="137" t="str">
        <f t="shared" ca="1" si="24"/>
        <v/>
      </c>
      <c r="AC208" s="160" t="str">
        <f t="shared" ca="1" si="25"/>
        <v/>
      </c>
      <c r="AD208" s="159" t="str">
        <f t="shared" ca="1" si="26"/>
        <v/>
      </c>
      <c r="AE208" s="161"/>
      <c r="AF208" s="161"/>
      <c r="AG208" s="161"/>
      <c r="AH208" s="137"/>
      <c r="AI208" s="164" t="str">
        <f t="shared" si="22"/>
        <v/>
      </c>
      <c r="AJ208" s="164" t="str">
        <f>IF(AND(OpenPendingCases[[#This Row],[Sale Status	]]="Open Sale",OpenPendingCases[[#This Row],[Potential Same Month]]="High"),TEXT(OpenPendingCases[[#This Row],[Request Entry Date]], "[$-en-us]mmmm"),"")</f>
        <v/>
      </c>
      <c r="AK208" s="165" t="str">
        <f>IFERROR(VALUE(SUBSTITUTE(OpenPendingCases[[#This Row],[Price]]," AED","")),"")</f>
        <v/>
      </c>
      <c r="AL208" s="165" t="str">
        <f>IFERROR(VALUE(LEFT(OpenPendingCases[[#This Row],[Price]],FIND(" ",OpenPendingCases[[#This Row],[Price]])-1)),"")</f>
        <v/>
      </c>
      <c r="AM208" s="165" t="str">
        <f>IFERROR(VALUE(_xlfn.TEXTBEFORE(OpenPendingCases[[#This Row],[Price]]," AED")),"")</f>
        <v/>
      </c>
      <c r="AN208" s="165"/>
    </row>
    <row r="209" spans="3:40" ht="18" hidden="1" x14ac:dyDescent="0.35">
      <c r="C209" s="134"/>
      <c r="D209" s="137" t="str">
        <f>IF($U209="Open Sale", IF(MAX($D$4:D208)+1=0, "", MAX($D$4:D208)+1), "")</f>
        <v/>
      </c>
      <c r="E209" s="137" t="str">
        <f>IF($U209="Pending Allocation", IF(MAX($E$4:E208)+1=0, "", MAX($E$4:E208)+1), "")</f>
        <v/>
      </c>
      <c r="F209" s="137"/>
      <c r="G209" s="137"/>
      <c r="H209" s="150"/>
      <c r="I209" s="150"/>
      <c r="J209" s="68" t="str">
        <f>IF(OpenPendingCases[[#This Row],[Timepiece Reference ]]="", "", IF(_xlfn.XLOOKUP(OpenPendingCases[[#This Row],[Timepiece Reference ]], Table1[[Timepiece Reference ]], Table1[CRC STOCK], "Not Found")="YES", "CRC Stock", "Boutique Stock"))</f>
        <v/>
      </c>
      <c r="K209" s="137" t="str">
        <f>IF(OpenPendingCases[[#This Row],[Timepiece Reference ]]="", "", IF(_xlfn.XLOOKUP(OpenPendingCases[[#This Row],[Timepiece Reference ]], Table1[[Timepiece Reference ]], Table1[CRC STOCK], "Not Found")="YES", "CRC Stock", "Boutique Stock"))</f>
        <v/>
      </c>
      <c r="L209" s="140"/>
      <c r="M209" s="141"/>
      <c r="N209" s="137"/>
      <c r="O209" s="134"/>
      <c r="P209" s="94" t="str">
        <f>IFERROR(VLOOKUP(TRIM(O209), Collection!$B$2:$D$1001, 2, FALSE), "")</f>
        <v/>
      </c>
      <c r="Q209" s="190" t="str">
        <f>IFERROR(VLOOKUP(TRIM(O209), Collection!$B$2:$D$1001, 3, FALSE), "")</f>
        <v/>
      </c>
      <c r="R209" s="153" t="str">
        <f t="shared" si="23"/>
        <v/>
      </c>
      <c r="S209" s="151"/>
      <c r="T209" s="158"/>
      <c r="U209" s="137"/>
      <c r="V209" s="137"/>
      <c r="W209" s="156" t="str">
        <f t="shared" si="27"/>
        <v/>
      </c>
      <c r="X209" s="157"/>
      <c r="Y209" s="158"/>
      <c r="Z209" s="158"/>
      <c r="AA209" s="137" t="str">
        <f t="shared" ca="1" si="28"/>
        <v/>
      </c>
      <c r="AB209" s="137" t="str">
        <f t="shared" ca="1" si="24"/>
        <v/>
      </c>
      <c r="AC209" s="160" t="str">
        <f t="shared" ca="1" si="25"/>
        <v/>
      </c>
      <c r="AD209" s="159" t="str">
        <f t="shared" ca="1" si="26"/>
        <v/>
      </c>
      <c r="AE209" s="161"/>
      <c r="AF209" s="161"/>
      <c r="AG209" s="161"/>
      <c r="AH209" s="137"/>
      <c r="AI209" s="164" t="str">
        <f t="shared" si="22"/>
        <v/>
      </c>
      <c r="AJ209" s="164" t="str">
        <f>IF(AND(OpenPendingCases[[#This Row],[Sale Status	]]="Open Sale",OpenPendingCases[[#This Row],[Potential Same Month]]="High"),TEXT(OpenPendingCases[[#This Row],[Request Entry Date]], "[$-en-us]mmmm"),"")</f>
        <v/>
      </c>
      <c r="AK209" s="165" t="str">
        <f>IFERROR(VALUE(SUBSTITUTE(OpenPendingCases[[#This Row],[Price]]," AED","")),"")</f>
        <v/>
      </c>
      <c r="AL209" s="165" t="str">
        <f>IFERROR(VALUE(LEFT(OpenPendingCases[[#This Row],[Price]],FIND(" ",OpenPendingCases[[#This Row],[Price]])-1)),"")</f>
        <v/>
      </c>
      <c r="AM209" s="165" t="str">
        <f>IFERROR(VALUE(_xlfn.TEXTBEFORE(OpenPendingCases[[#This Row],[Price]]," AED")),"")</f>
        <v/>
      </c>
      <c r="AN209" s="165"/>
    </row>
    <row r="210" spans="3:40" ht="18" hidden="1" x14ac:dyDescent="0.35">
      <c r="C210" s="134"/>
      <c r="D210" s="137" t="str">
        <f>IF($U210="Open Sale", IF(MAX($D$4:D209)+1=0, "", MAX($D$4:D209)+1), "")</f>
        <v/>
      </c>
      <c r="E210" s="137" t="str">
        <f>IF($U210="Pending Allocation", IF(MAX($E$4:E209)+1=0, "", MAX($E$4:E209)+1), "")</f>
        <v/>
      </c>
      <c r="F210" s="137"/>
      <c r="G210" s="137"/>
      <c r="H210" s="150"/>
      <c r="I210" s="150"/>
      <c r="J210" s="68" t="str">
        <f>IF(OpenPendingCases[[#This Row],[Timepiece Reference ]]="", "", IF(_xlfn.XLOOKUP(OpenPendingCases[[#This Row],[Timepiece Reference ]], Table1[[Timepiece Reference ]], Table1[CRC STOCK], "Not Found")="YES", "CRC Stock", "Boutique Stock"))</f>
        <v/>
      </c>
      <c r="K210" s="137" t="str">
        <f>IF(OpenPendingCases[[#This Row],[Timepiece Reference ]]="", "", IF(_xlfn.XLOOKUP(OpenPendingCases[[#This Row],[Timepiece Reference ]], Table1[[Timepiece Reference ]], Table1[CRC STOCK], "Not Found")="YES", "CRC Stock", "Boutique Stock"))</f>
        <v/>
      </c>
      <c r="L210" s="140"/>
      <c r="M210" s="141"/>
      <c r="N210" s="137"/>
      <c r="O210" s="134"/>
      <c r="P210" s="94" t="str">
        <f>IFERROR(VLOOKUP(TRIM(O210), Collection!$B$2:$D$1001, 2, FALSE), "")</f>
        <v/>
      </c>
      <c r="Q210" s="190" t="str">
        <f>IFERROR(VLOOKUP(TRIM(O210), Collection!$B$2:$D$1001, 3, FALSE), "")</f>
        <v/>
      </c>
      <c r="R210" s="153" t="str">
        <f t="shared" si="23"/>
        <v/>
      </c>
      <c r="S210" s="151"/>
      <c r="T210" s="158"/>
      <c r="U210" s="137"/>
      <c r="V210" s="137"/>
      <c r="W210" s="156" t="str">
        <f t="shared" si="27"/>
        <v/>
      </c>
      <c r="X210" s="157"/>
      <c r="Y210" s="158"/>
      <c r="Z210" s="158"/>
      <c r="AA210" s="137" t="str">
        <f t="shared" ca="1" si="28"/>
        <v/>
      </c>
      <c r="AB210" s="137" t="str">
        <f t="shared" ca="1" si="24"/>
        <v/>
      </c>
      <c r="AC210" s="160" t="str">
        <f t="shared" ca="1" si="25"/>
        <v/>
      </c>
      <c r="AD210" s="159" t="str">
        <f t="shared" ca="1" si="26"/>
        <v/>
      </c>
      <c r="AE210" s="161"/>
      <c r="AF210" s="161"/>
      <c r="AG210" s="161"/>
      <c r="AH210" s="137"/>
      <c r="AI210" s="164" t="str">
        <f t="shared" si="22"/>
        <v/>
      </c>
      <c r="AJ210" s="164" t="str">
        <f>IF(AND(OpenPendingCases[[#This Row],[Sale Status	]]="Open Sale",OpenPendingCases[[#This Row],[Potential Same Month]]="High"),TEXT(OpenPendingCases[[#This Row],[Request Entry Date]], "[$-en-us]mmmm"),"")</f>
        <v/>
      </c>
      <c r="AK210" s="165" t="str">
        <f>IFERROR(VALUE(SUBSTITUTE(OpenPendingCases[[#This Row],[Price]]," AED","")),"")</f>
        <v/>
      </c>
      <c r="AL210" s="165" t="str">
        <f>IFERROR(VALUE(LEFT(OpenPendingCases[[#This Row],[Price]],FIND(" ",OpenPendingCases[[#This Row],[Price]])-1)),"")</f>
        <v/>
      </c>
      <c r="AM210" s="165" t="str">
        <f>IFERROR(VALUE(_xlfn.TEXTBEFORE(OpenPendingCases[[#This Row],[Price]]," AED")),"")</f>
        <v/>
      </c>
      <c r="AN210" s="165"/>
    </row>
    <row r="211" spans="3:40" ht="18" hidden="1" x14ac:dyDescent="0.35">
      <c r="C211" s="134"/>
      <c r="D211" s="137" t="str">
        <f>IF($U211="Open Sale", IF(MAX($D$4:D210)+1=0, "", MAX($D$4:D210)+1), "")</f>
        <v/>
      </c>
      <c r="E211" s="137" t="str">
        <f>IF($U211="Pending Allocation", IF(MAX($E$4:E210)+1=0, "", MAX($E$4:E210)+1), "")</f>
        <v/>
      </c>
      <c r="F211" s="137"/>
      <c r="G211" s="137"/>
      <c r="H211" s="150"/>
      <c r="I211" s="150"/>
      <c r="J211" s="68" t="str">
        <f>IF(OpenPendingCases[[#This Row],[Timepiece Reference ]]="", "", IF(_xlfn.XLOOKUP(OpenPendingCases[[#This Row],[Timepiece Reference ]], Table1[[Timepiece Reference ]], Table1[CRC STOCK], "Not Found")="YES", "CRC Stock", "Boutique Stock"))</f>
        <v/>
      </c>
      <c r="K211" s="137" t="str">
        <f>IF(OpenPendingCases[[#This Row],[Timepiece Reference ]]="", "", IF(_xlfn.XLOOKUP(OpenPendingCases[[#This Row],[Timepiece Reference ]], Table1[[Timepiece Reference ]], Table1[CRC STOCK], "Not Found")="YES", "CRC Stock", "Boutique Stock"))</f>
        <v/>
      </c>
      <c r="L211" s="140"/>
      <c r="M211" s="141"/>
      <c r="N211" s="137"/>
      <c r="O211" s="134"/>
      <c r="P211" s="94" t="str">
        <f>IFERROR(VLOOKUP(TRIM(O211), Collection!$B$2:$D$1001, 2, FALSE), "")</f>
        <v/>
      </c>
      <c r="Q211" s="190" t="str">
        <f>IFERROR(VLOOKUP(TRIM(O211), Collection!$B$2:$D$1001, 3, FALSE), "")</f>
        <v/>
      </c>
      <c r="R211" s="153" t="str">
        <f t="shared" si="23"/>
        <v/>
      </c>
      <c r="S211" s="151"/>
      <c r="T211" s="158"/>
      <c r="U211" s="137"/>
      <c r="V211" s="137"/>
      <c r="W211" s="156" t="str">
        <f t="shared" si="27"/>
        <v/>
      </c>
      <c r="X211" s="157"/>
      <c r="Y211" s="158"/>
      <c r="Z211" s="158"/>
      <c r="AA211" s="137" t="str">
        <f t="shared" ca="1" si="28"/>
        <v/>
      </c>
      <c r="AB211" s="137" t="str">
        <f t="shared" ca="1" si="24"/>
        <v/>
      </c>
      <c r="AC211" s="160" t="str">
        <f t="shared" ca="1" si="25"/>
        <v/>
      </c>
      <c r="AD211" s="159" t="str">
        <f t="shared" ca="1" si="26"/>
        <v/>
      </c>
      <c r="AE211" s="161"/>
      <c r="AF211" s="161"/>
      <c r="AG211" s="161"/>
      <c r="AH211" s="137"/>
      <c r="AI211" s="164" t="str">
        <f t="shared" si="22"/>
        <v/>
      </c>
      <c r="AJ211" s="164" t="str">
        <f>IF(AND(OpenPendingCases[[#This Row],[Sale Status	]]="Open Sale",OpenPendingCases[[#This Row],[Potential Same Month]]="High"),TEXT(OpenPendingCases[[#This Row],[Request Entry Date]], "[$-en-us]mmmm"),"")</f>
        <v/>
      </c>
      <c r="AK211" s="165" t="str">
        <f>IFERROR(VALUE(SUBSTITUTE(OpenPendingCases[[#This Row],[Price]]," AED","")),"")</f>
        <v/>
      </c>
      <c r="AL211" s="165" t="str">
        <f>IFERROR(VALUE(LEFT(OpenPendingCases[[#This Row],[Price]],FIND(" ",OpenPendingCases[[#This Row],[Price]])-1)),"")</f>
        <v/>
      </c>
      <c r="AM211" s="165" t="str">
        <f>IFERROR(VALUE(_xlfn.TEXTBEFORE(OpenPendingCases[[#This Row],[Price]]," AED")),"")</f>
        <v/>
      </c>
      <c r="AN211" s="165"/>
    </row>
    <row r="212" spans="3:40" ht="18" hidden="1" x14ac:dyDescent="0.35">
      <c r="C212" s="134"/>
      <c r="D212" s="137" t="str">
        <f>IF($U212="Open Sale", IF(MAX($D$4:D211)+1=0, "", MAX($D$4:D211)+1), "")</f>
        <v/>
      </c>
      <c r="E212" s="137" t="str">
        <f>IF($U212="Pending Allocation", IF(MAX($E$4:E211)+1=0, "", MAX($E$4:E211)+1), "")</f>
        <v/>
      </c>
      <c r="F212" s="137"/>
      <c r="G212" s="137"/>
      <c r="H212" s="150"/>
      <c r="I212" s="150"/>
      <c r="J212" s="68" t="str">
        <f>IF(OpenPendingCases[[#This Row],[Timepiece Reference ]]="", "", IF(_xlfn.XLOOKUP(OpenPendingCases[[#This Row],[Timepiece Reference ]], Table1[[Timepiece Reference ]], Table1[CRC STOCK], "Not Found")="YES", "CRC Stock", "Boutique Stock"))</f>
        <v/>
      </c>
      <c r="K212" s="137" t="str">
        <f>IF(OpenPendingCases[[#This Row],[Timepiece Reference ]]="", "", IF(_xlfn.XLOOKUP(OpenPendingCases[[#This Row],[Timepiece Reference ]], Table1[[Timepiece Reference ]], Table1[CRC STOCK], "Not Found")="YES", "CRC Stock", "Boutique Stock"))</f>
        <v/>
      </c>
      <c r="L212" s="140"/>
      <c r="M212" s="141"/>
      <c r="N212" s="137"/>
      <c r="O212" s="134"/>
      <c r="P212" s="94" t="str">
        <f>IFERROR(VLOOKUP(TRIM(O212), Collection!$B$2:$D$1001, 2, FALSE), "")</f>
        <v/>
      </c>
      <c r="Q212" s="190" t="str">
        <f>IFERROR(VLOOKUP(TRIM(O212), Collection!$B$2:$D$1001, 3, FALSE), "")</f>
        <v/>
      </c>
      <c r="R212" s="153" t="str">
        <f t="shared" si="23"/>
        <v/>
      </c>
      <c r="S212" s="151"/>
      <c r="T212" s="158"/>
      <c r="U212" s="137"/>
      <c r="V212" s="137"/>
      <c r="W212" s="156" t="str">
        <f t="shared" si="27"/>
        <v/>
      </c>
      <c r="X212" s="157"/>
      <c r="Y212" s="158"/>
      <c r="Z212" s="158"/>
      <c r="AA212" s="137" t="str">
        <f t="shared" ca="1" si="28"/>
        <v/>
      </c>
      <c r="AB212" s="137" t="str">
        <f t="shared" ca="1" si="24"/>
        <v/>
      </c>
      <c r="AC212" s="160" t="str">
        <f t="shared" ca="1" si="25"/>
        <v/>
      </c>
      <c r="AD212" s="159" t="str">
        <f t="shared" ca="1" si="26"/>
        <v/>
      </c>
      <c r="AE212" s="161"/>
      <c r="AF212" s="161"/>
      <c r="AG212" s="161"/>
      <c r="AH212" s="137"/>
      <c r="AI212" s="164" t="str">
        <f t="shared" si="22"/>
        <v/>
      </c>
      <c r="AJ212" s="164" t="str">
        <f>IF(AND(OpenPendingCases[[#This Row],[Sale Status	]]="Open Sale",OpenPendingCases[[#This Row],[Potential Same Month]]="High"),TEXT(OpenPendingCases[[#This Row],[Request Entry Date]], "[$-en-us]mmmm"),"")</f>
        <v/>
      </c>
      <c r="AK212" s="165" t="str">
        <f>IFERROR(VALUE(SUBSTITUTE(OpenPendingCases[[#This Row],[Price]]," AED","")),"")</f>
        <v/>
      </c>
      <c r="AL212" s="165" t="str">
        <f>IFERROR(VALUE(LEFT(OpenPendingCases[[#This Row],[Price]],FIND(" ",OpenPendingCases[[#This Row],[Price]])-1)),"")</f>
        <v/>
      </c>
      <c r="AM212" s="165" t="str">
        <f>IFERROR(VALUE(_xlfn.TEXTBEFORE(OpenPendingCases[[#This Row],[Price]]," AED")),"")</f>
        <v/>
      </c>
      <c r="AN212" s="165"/>
    </row>
    <row r="213" spans="3:40" ht="18" hidden="1" x14ac:dyDescent="0.35">
      <c r="C213" s="134"/>
      <c r="D213" s="137" t="str">
        <f>IF($U213="Open Sale", IF(MAX($D$4:D212)+1=0, "", MAX($D$4:D212)+1), "")</f>
        <v/>
      </c>
      <c r="E213" s="137" t="str">
        <f>IF($U213="Pending Allocation", IF(MAX($E$4:E212)+1=0, "", MAX($E$4:E212)+1), "")</f>
        <v/>
      </c>
      <c r="F213" s="137"/>
      <c r="G213" s="137"/>
      <c r="H213" s="150"/>
      <c r="I213" s="150"/>
      <c r="J213" s="68" t="str">
        <f>IF(OpenPendingCases[[#This Row],[Timepiece Reference ]]="", "", IF(_xlfn.XLOOKUP(OpenPendingCases[[#This Row],[Timepiece Reference ]], Table1[[Timepiece Reference ]], Table1[CRC STOCK], "Not Found")="YES", "CRC Stock", "Boutique Stock"))</f>
        <v/>
      </c>
      <c r="K213" s="137" t="str">
        <f>IF(OpenPendingCases[[#This Row],[Timepiece Reference ]]="", "", IF(_xlfn.XLOOKUP(OpenPendingCases[[#This Row],[Timepiece Reference ]], Table1[[Timepiece Reference ]], Table1[CRC STOCK], "Not Found")="YES", "CRC Stock", "Boutique Stock"))</f>
        <v/>
      </c>
      <c r="L213" s="140"/>
      <c r="M213" s="141"/>
      <c r="N213" s="137"/>
      <c r="O213" s="134"/>
      <c r="P213" s="94" t="str">
        <f>IFERROR(VLOOKUP(TRIM(O213), Collection!$B$2:$D$1001, 2, FALSE), "")</f>
        <v/>
      </c>
      <c r="Q213" s="190" t="str">
        <f>IFERROR(VLOOKUP(TRIM(O213), Collection!$B$2:$D$1001, 3, FALSE), "")</f>
        <v/>
      </c>
      <c r="R213" s="153" t="str">
        <f t="shared" si="23"/>
        <v/>
      </c>
      <c r="S213" s="151"/>
      <c r="T213" s="158"/>
      <c r="U213" s="137"/>
      <c r="V213" s="137"/>
      <c r="W213" s="156" t="str">
        <f t="shared" si="27"/>
        <v/>
      </c>
      <c r="X213" s="157"/>
      <c r="Y213" s="158"/>
      <c r="Z213" s="158"/>
      <c r="AA213" s="137" t="str">
        <f t="shared" ca="1" si="28"/>
        <v/>
      </c>
      <c r="AB213" s="137" t="str">
        <f t="shared" ca="1" si="24"/>
        <v/>
      </c>
      <c r="AC213" s="160" t="str">
        <f t="shared" ca="1" si="25"/>
        <v/>
      </c>
      <c r="AD213" s="159" t="str">
        <f t="shared" ca="1" si="26"/>
        <v/>
      </c>
      <c r="AE213" s="161"/>
      <c r="AF213" s="161"/>
      <c r="AG213" s="161"/>
      <c r="AH213" s="137"/>
      <c r="AI213" s="164" t="str">
        <f t="shared" si="22"/>
        <v/>
      </c>
      <c r="AJ213" s="164" t="str">
        <f>IF(AND(OpenPendingCases[[#This Row],[Sale Status	]]="Open Sale",OpenPendingCases[[#This Row],[Potential Same Month]]="High"),TEXT(OpenPendingCases[[#This Row],[Request Entry Date]], "[$-en-us]mmmm"),"")</f>
        <v/>
      </c>
      <c r="AK213" s="165" t="str">
        <f>IFERROR(VALUE(SUBSTITUTE(OpenPendingCases[[#This Row],[Price]]," AED","")),"")</f>
        <v/>
      </c>
      <c r="AL213" s="165" t="str">
        <f>IFERROR(VALUE(LEFT(OpenPendingCases[[#This Row],[Price]],FIND(" ",OpenPendingCases[[#This Row],[Price]])-1)),"")</f>
        <v/>
      </c>
      <c r="AM213" s="165" t="str">
        <f>IFERROR(VALUE(_xlfn.TEXTBEFORE(OpenPendingCases[[#This Row],[Price]]," AED")),"")</f>
        <v/>
      </c>
      <c r="AN213" s="165"/>
    </row>
    <row r="214" spans="3:40" ht="18" hidden="1" x14ac:dyDescent="0.35">
      <c r="C214" s="134"/>
      <c r="D214" s="137" t="str">
        <f>IF($U214="Open Sale", IF(MAX($D$4:D213)+1=0, "", MAX($D$4:D213)+1), "")</f>
        <v/>
      </c>
      <c r="E214" s="137" t="str">
        <f>IF($U214="Pending Allocation", IF(MAX($E$4:E213)+1=0, "", MAX($E$4:E213)+1), "")</f>
        <v/>
      </c>
      <c r="F214" s="137"/>
      <c r="G214" s="137"/>
      <c r="H214" s="150"/>
      <c r="I214" s="150"/>
      <c r="J214" s="68" t="str">
        <f>IF(OpenPendingCases[[#This Row],[Timepiece Reference ]]="", "", IF(_xlfn.XLOOKUP(OpenPendingCases[[#This Row],[Timepiece Reference ]], Table1[[Timepiece Reference ]], Table1[CRC STOCK], "Not Found")="YES", "CRC Stock", "Boutique Stock"))</f>
        <v/>
      </c>
      <c r="K214" s="137" t="str">
        <f>IF(OpenPendingCases[[#This Row],[Timepiece Reference ]]="", "", IF(_xlfn.XLOOKUP(OpenPendingCases[[#This Row],[Timepiece Reference ]], Table1[[Timepiece Reference ]], Table1[CRC STOCK], "Not Found")="YES", "CRC Stock", "Boutique Stock"))</f>
        <v/>
      </c>
      <c r="L214" s="140"/>
      <c r="M214" s="141"/>
      <c r="N214" s="137"/>
      <c r="O214" s="134"/>
      <c r="P214" s="94" t="str">
        <f>IFERROR(VLOOKUP(TRIM(O214), Collection!$B$2:$D$1001, 2, FALSE), "")</f>
        <v/>
      </c>
      <c r="Q214" s="190" t="str">
        <f>IFERROR(VLOOKUP(TRIM(O214), Collection!$B$2:$D$1001, 3, FALSE), "")</f>
        <v/>
      </c>
      <c r="R214" s="153" t="str">
        <f t="shared" si="23"/>
        <v/>
      </c>
      <c r="S214" s="151"/>
      <c r="T214" s="158"/>
      <c r="U214" s="137"/>
      <c r="V214" s="137"/>
      <c r="W214" s="156" t="str">
        <f t="shared" si="27"/>
        <v/>
      </c>
      <c r="X214" s="157"/>
      <c r="Y214" s="158"/>
      <c r="Z214" s="158"/>
      <c r="AA214" s="137" t="str">
        <f t="shared" ca="1" si="28"/>
        <v/>
      </c>
      <c r="AB214" s="137" t="str">
        <f t="shared" ca="1" si="24"/>
        <v/>
      </c>
      <c r="AC214" s="160" t="str">
        <f t="shared" ca="1" si="25"/>
        <v/>
      </c>
      <c r="AD214" s="159" t="str">
        <f t="shared" ca="1" si="26"/>
        <v/>
      </c>
      <c r="AE214" s="161"/>
      <c r="AF214" s="161"/>
      <c r="AG214" s="161"/>
      <c r="AH214" s="137"/>
      <c r="AI214" s="164" t="str">
        <f t="shared" ref="AI214:AI277" si="29">IF(I214="","",TEXT(I214, "mmmm yyyy"))</f>
        <v/>
      </c>
      <c r="AJ214" s="164" t="str">
        <f>IF(AND(OpenPendingCases[[#This Row],[Sale Status	]]="Open Sale",OpenPendingCases[[#This Row],[Potential Same Month]]="High"),TEXT(OpenPendingCases[[#This Row],[Request Entry Date]], "[$-en-us]mmmm"),"")</f>
        <v/>
      </c>
      <c r="AK214" s="165" t="str">
        <f>IFERROR(VALUE(SUBSTITUTE(OpenPendingCases[[#This Row],[Price]]," AED","")),"")</f>
        <v/>
      </c>
      <c r="AL214" s="165" t="str">
        <f>IFERROR(VALUE(LEFT(OpenPendingCases[[#This Row],[Price]],FIND(" ",OpenPendingCases[[#This Row],[Price]])-1)),"")</f>
        <v/>
      </c>
      <c r="AM214" s="165" t="str">
        <f>IFERROR(VALUE(_xlfn.TEXTBEFORE(OpenPendingCases[[#This Row],[Price]]," AED")),"")</f>
        <v/>
      </c>
      <c r="AN214" s="165"/>
    </row>
    <row r="215" spans="3:40" ht="18" hidden="1" x14ac:dyDescent="0.35">
      <c r="C215" s="134"/>
      <c r="D215" s="137" t="str">
        <f>IF($U215="Open Sale", IF(MAX($D$4:D214)+1=0, "", MAX($D$4:D214)+1), "")</f>
        <v/>
      </c>
      <c r="E215" s="137" t="str">
        <f>IF($U215="Pending Allocation", IF(MAX($E$4:E214)+1=0, "", MAX($E$4:E214)+1), "")</f>
        <v/>
      </c>
      <c r="F215" s="137"/>
      <c r="G215" s="137"/>
      <c r="H215" s="150"/>
      <c r="I215" s="150"/>
      <c r="J215" s="68" t="str">
        <f>IF(OpenPendingCases[[#This Row],[Timepiece Reference ]]="", "", IF(_xlfn.XLOOKUP(OpenPendingCases[[#This Row],[Timepiece Reference ]], Table1[[Timepiece Reference ]], Table1[CRC STOCK], "Not Found")="YES", "CRC Stock", "Boutique Stock"))</f>
        <v/>
      </c>
      <c r="K215" s="137" t="str">
        <f>IF(OpenPendingCases[[#This Row],[Timepiece Reference ]]="", "", IF(_xlfn.XLOOKUP(OpenPendingCases[[#This Row],[Timepiece Reference ]], Table1[[Timepiece Reference ]], Table1[CRC STOCK], "Not Found")="YES", "CRC Stock", "Boutique Stock"))</f>
        <v/>
      </c>
      <c r="L215" s="140"/>
      <c r="M215" s="141"/>
      <c r="N215" s="137"/>
      <c r="O215" s="134"/>
      <c r="P215" s="94" t="str">
        <f>IFERROR(VLOOKUP(TRIM(O215), Collection!$B$2:$D$1001, 2, FALSE), "")</f>
        <v/>
      </c>
      <c r="Q215" s="190" t="str">
        <f>IFERROR(VLOOKUP(TRIM(O215), Collection!$B$2:$D$1001, 3, FALSE), "")</f>
        <v/>
      </c>
      <c r="R215" s="153" t="str">
        <f t="shared" si="23"/>
        <v/>
      </c>
      <c r="S215" s="151"/>
      <c r="T215" s="158"/>
      <c r="U215" s="137"/>
      <c r="V215" s="137"/>
      <c r="W215" s="156" t="str">
        <f t="shared" si="27"/>
        <v/>
      </c>
      <c r="X215" s="157"/>
      <c r="Y215" s="158"/>
      <c r="Z215" s="158"/>
      <c r="AA215" s="137" t="str">
        <f t="shared" ca="1" si="28"/>
        <v/>
      </c>
      <c r="AB215" s="137" t="str">
        <f t="shared" ca="1" si="24"/>
        <v/>
      </c>
      <c r="AC215" s="160" t="str">
        <f t="shared" ca="1" si="25"/>
        <v/>
      </c>
      <c r="AD215" s="159" t="str">
        <f t="shared" ca="1" si="26"/>
        <v/>
      </c>
      <c r="AE215" s="161"/>
      <c r="AF215" s="161"/>
      <c r="AG215" s="161"/>
      <c r="AH215" s="137"/>
      <c r="AI215" s="164" t="str">
        <f t="shared" si="29"/>
        <v/>
      </c>
      <c r="AJ215" s="164" t="str">
        <f>IF(AND(OpenPendingCases[[#This Row],[Sale Status	]]="Open Sale",OpenPendingCases[[#This Row],[Potential Same Month]]="High"),TEXT(OpenPendingCases[[#This Row],[Request Entry Date]], "[$-en-us]mmmm"),"")</f>
        <v/>
      </c>
      <c r="AK215" s="165" t="str">
        <f>IFERROR(VALUE(SUBSTITUTE(OpenPendingCases[[#This Row],[Price]]," AED","")),"")</f>
        <v/>
      </c>
      <c r="AL215" s="165" t="str">
        <f>IFERROR(VALUE(LEFT(OpenPendingCases[[#This Row],[Price]],FIND(" ",OpenPendingCases[[#This Row],[Price]])-1)),"")</f>
        <v/>
      </c>
      <c r="AM215" s="165" t="str">
        <f>IFERROR(VALUE(_xlfn.TEXTBEFORE(OpenPendingCases[[#This Row],[Price]]," AED")),"")</f>
        <v/>
      </c>
      <c r="AN215" s="165"/>
    </row>
    <row r="216" spans="3:40" ht="18" hidden="1" x14ac:dyDescent="0.35">
      <c r="C216" s="134"/>
      <c r="D216" s="137" t="str">
        <f>IF($U216="Open Sale", IF(MAX($D$4:D215)+1=0, "", MAX($D$4:D215)+1), "")</f>
        <v/>
      </c>
      <c r="E216" s="137" t="str">
        <f>IF($U216="Pending Allocation", IF(MAX($E$4:E215)+1=0, "", MAX($E$4:E215)+1), "")</f>
        <v/>
      </c>
      <c r="F216" s="137"/>
      <c r="G216" s="137"/>
      <c r="H216" s="150"/>
      <c r="I216" s="150"/>
      <c r="J216" s="68" t="str">
        <f>IF(OpenPendingCases[[#This Row],[Timepiece Reference ]]="", "", IF(_xlfn.XLOOKUP(OpenPendingCases[[#This Row],[Timepiece Reference ]], Table1[[Timepiece Reference ]], Table1[CRC STOCK], "Not Found")="YES", "CRC Stock", "Boutique Stock"))</f>
        <v/>
      </c>
      <c r="K216" s="137" t="str">
        <f>IF(OpenPendingCases[[#This Row],[Timepiece Reference ]]="", "", IF(_xlfn.XLOOKUP(OpenPendingCases[[#This Row],[Timepiece Reference ]], Table1[[Timepiece Reference ]], Table1[CRC STOCK], "Not Found")="YES", "CRC Stock", "Boutique Stock"))</f>
        <v/>
      </c>
      <c r="L216" s="140"/>
      <c r="M216" s="141"/>
      <c r="N216" s="137"/>
      <c r="O216" s="134"/>
      <c r="P216" s="94" t="str">
        <f>IFERROR(VLOOKUP(TRIM(O216), Collection!$B$2:$D$1001, 2, FALSE), "")</f>
        <v/>
      </c>
      <c r="Q216" s="190" t="str">
        <f>IFERROR(VLOOKUP(TRIM(O216), Collection!$B$2:$D$1001, 3, FALSE), "")</f>
        <v/>
      </c>
      <c r="R216" s="153" t="str">
        <f t="shared" si="23"/>
        <v/>
      </c>
      <c r="S216" s="151"/>
      <c r="T216" s="158"/>
      <c r="U216" s="137"/>
      <c r="V216" s="137"/>
      <c r="W216" s="156" t="str">
        <f t="shared" si="27"/>
        <v/>
      </c>
      <c r="X216" s="157"/>
      <c r="Y216" s="158"/>
      <c r="Z216" s="158"/>
      <c r="AA216" s="137" t="str">
        <f t="shared" ca="1" si="28"/>
        <v/>
      </c>
      <c r="AB216" s="137" t="str">
        <f t="shared" ca="1" si="24"/>
        <v/>
      </c>
      <c r="AC216" s="160" t="str">
        <f t="shared" ca="1" si="25"/>
        <v/>
      </c>
      <c r="AD216" s="159" t="str">
        <f t="shared" ca="1" si="26"/>
        <v/>
      </c>
      <c r="AE216" s="161"/>
      <c r="AF216" s="161"/>
      <c r="AG216" s="161"/>
      <c r="AH216" s="137"/>
      <c r="AI216" s="164" t="str">
        <f t="shared" si="29"/>
        <v/>
      </c>
      <c r="AJ216" s="164" t="str">
        <f>IF(AND(OpenPendingCases[[#This Row],[Sale Status	]]="Open Sale",OpenPendingCases[[#This Row],[Potential Same Month]]="High"),TEXT(OpenPendingCases[[#This Row],[Request Entry Date]], "[$-en-us]mmmm"),"")</f>
        <v/>
      </c>
      <c r="AK216" s="165" t="str">
        <f>IFERROR(VALUE(SUBSTITUTE(OpenPendingCases[[#This Row],[Price]]," AED","")),"")</f>
        <v/>
      </c>
      <c r="AL216" s="165" t="str">
        <f>IFERROR(VALUE(LEFT(OpenPendingCases[[#This Row],[Price]],FIND(" ",OpenPendingCases[[#This Row],[Price]])-1)),"")</f>
        <v/>
      </c>
      <c r="AM216" s="165" t="str">
        <f>IFERROR(VALUE(_xlfn.TEXTBEFORE(OpenPendingCases[[#This Row],[Price]]," AED")),"")</f>
        <v/>
      </c>
      <c r="AN216" s="165"/>
    </row>
    <row r="217" spans="3:40" ht="18" hidden="1" x14ac:dyDescent="0.35">
      <c r="C217" s="134"/>
      <c r="D217" s="137" t="str">
        <f>IF($U217="Open Sale", IF(MAX($D$4:D216)+1=0, "", MAX($D$4:D216)+1), "")</f>
        <v/>
      </c>
      <c r="E217" s="137" t="str">
        <f>IF($U217="Pending Allocation", IF(MAX($E$4:E216)+1=0, "", MAX($E$4:E216)+1), "")</f>
        <v/>
      </c>
      <c r="F217" s="137"/>
      <c r="G217" s="137"/>
      <c r="H217" s="150"/>
      <c r="I217" s="150"/>
      <c r="J217" s="68" t="str">
        <f>IF(OpenPendingCases[[#This Row],[Timepiece Reference ]]="", "", IF(_xlfn.XLOOKUP(OpenPendingCases[[#This Row],[Timepiece Reference ]], Table1[[Timepiece Reference ]], Table1[CRC STOCK], "Not Found")="YES", "CRC Stock", "Boutique Stock"))</f>
        <v/>
      </c>
      <c r="K217" s="137" t="str">
        <f>IF(OpenPendingCases[[#This Row],[Timepiece Reference ]]="", "", IF(_xlfn.XLOOKUP(OpenPendingCases[[#This Row],[Timepiece Reference ]], Table1[[Timepiece Reference ]], Table1[CRC STOCK], "Not Found")="YES", "CRC Stock", "Boutique Stock"))</f>
        <v/>
      </c>
      <c r="L217" s="140"/>
      <c r="M217" s="141"/>
      <c r="N217" s="137"/>
      <c r="O217" s="134"/>
      <c r="P217" s="94" t="str">
        <f>IFERROR(VLOOKUP(TRIM(O217), Collection!$B$2:$D$1001, 2, FALSE), "")</f>
        <v/>
      </c>
      <c r="Q217" s="190" t="str">
        <f>IFERROR(VLOOKUP(TRIM(O217), Collection!$B$2:$D$1001, 3, FALSE), "")</f>
        <v/>
      </c>
      <c r="R217" s="153" t="str">
        <f t="shared" si="23"/>
        <v/>
      </c>
      <c r="S217" s="151"/>
      <c r="T217" s="158"/>
      <c r="U217" s="137"/>
      <c r="V217" s="137"/>
      <c r="W217" s="156" t="str">
        <f t="shared" si="27"/>
        <v/>
      </c>
      <c r="X217" s="157"/>
      <c r="Y217" s="158"/>
      <c r="Z217" s="158"/>
      <c r="AA217" s="137" t="str">
        <f t="shared" ca="1" si="28"/>
        <v/>
      </c>
      <c r="AB217" s="137" t="str">
        <f t="shared" ca="1" si="24"/>
        <v/>
      </c>
      <c r="AC217" s="160" t="str">
        <f t="shared" ca="1" si="25"/>
        <v/>
      </c>
      <c r="AD217" s="159" t="str">
        <f t="shared" ca="1" si="26"/>
        <v/>
      </c>
      <c r="AE217" s="161"/>
      <c r="AF217" s="161"/>
      <c r="AG217" s="161"/>
      <c r="AH217" s="137"/>
      <c r="AI217" s="164" t="str">
        <f t="shared" si="29"/>
        <v/>
      </c>
      <c r="AJ217" s="164" t="str">
        <f>IF(AND(OpenPendingCases[[#This Row],[Sale Status	]]="Open Sale",OpenPendingCases[[#This Row],[Potential Same Month]]="High"),TEXT(OpenPendingCases[[#This Row],[Request Entry Date]], "[$-en-us]mmmm"),"")</f>
        <v/>
      </c>
      <c r="AK217" s="165" t="str">
        <f>IFERROR(VALUE(SUBSTITUTE(OpenPendingCases[[#This Row],[Price]]," AED","")),"")</f>
        <v/>
      </c>
      <c r="AL217" s="165" t="str">
        <f>IFERROR(VALUE(LEFT(OpenPendingCases[[#This Row],[Price]],FIND(" ",OpenPendingCases[[#This Row],[Price]])-1)),"")</f>
        <v/>
      </c>
      <c r="AM217" s="165" t="str">
        <f>IFERROR(VALUE(_xlfn.TEXTBEFORE(OpenPendingCases[[#This Row],[Price]]," AED")),"")</f>
        <v/>
      </c>
      <c r="AN217" s="165"/>
    </row>
    <row r="218" spans="3:40" ht="18" hidden="1" x14ac:dyDescent="0.35">
      <c r="C218" s="134"/>
      <c r="D218" s="137" t="str">
        <f>IF($U218="Open Sale", IF(MAX($D$4:D217)+1=0, "", MAX($D$4:D217)+1), "")</f>
        <v/>
      </c>
      <c r="E218" s="137" t="str">
        <f>IF($U218="Pending Allocation", IF(MAX($E$4:E217)+1=0, "", MAX($E$4:E217)+1), "")</f>
        <v/>
      </c>
      <c r="F218" s="137"/>
      <c r="G218" s="137"/>
      <c r="H218" s="150"/>
      <c r="I218" s="150"/>
      <c r="J218" s="68" t="str">
        <f>IF(OpenPendingCases[[#This Row],[Timepiece Reference ]]="", "", IF(_xlfn.XLOOKUP(OpenPendingCases[[#This Row],[Timepiece Reference ]], Table1[[Timepiece Reference ]], Table1[CRC STOCK], "Not Found")="YES", "CRC Stock", "Boutique Stock"))</f>
        <v/>
      </c>
      <c r="K218" s="137" t="str">
        <f>IF(OpenPendingCases[[#This Row],[Timepiece Reference ]]="", "", IF(_xlfn.XLOOKUP(OpenPendingCases[[#This Row],[Timepiece Reference ]], Table1[[Timepiece Reference ]], Table1[CRC STOCK], "Not Found")="YES", "CRC Stock", "Boutique Stock"))</f>
        <v/>
      </c>
      <c r="L218" s="140"/>
      <c r="M218" s="141"/>
      <c r="N218" s="137"/>
      <c r="O218" s="134"/>
      <c r="P218" s="94" t="str">
        <f>IFERROR(VLOOKUP(TRIM(O218), Collection!$B$2:$D$1001, 2, FALSE), "")</f>
        <v/>
      </c>
      <c r="Q218" s="190" t="str">
        <f>IFERROR(VLOOKUP(TRIM(O218), Collection!$B$2:$D$1001, 3, FALSE), "")</f>
        <v/>
      </c>
      <c r="R218" s="153" t="str">
        <f t="shared" si="23"/>
        <v/>
      </c>
      <c r="S218" s="151"/>
      <c r="T218" s="158"/>
      <c r="U218" s="137"/>
      <c r="V218" s="137"/>
      <c r="W218" s="156" t="str">
        <f t="shared" si="27"/>
        <v/>
      </c>
      <c r="X218" s="157"/>
      <c r="Y218" s="158"/>
      <c r="Z218" s="158"/>
      <c r="AA218" s="137" t="str">
        <f t="shared" ca="1" si="28"/>
        <v/>
      </c>
      <c r="AB218" s="137" t="str">
        <f t="shared" ca="1" si="24"/>
        <v/>
      </c>
      <c r="AC218" s="160" t="str">
        <f t="shared" ca="1" si="25"/>
        <v/>
      </c>
      <c r="AD218" s="159" t="str">
        <f t="shared" ca="1" si="26"/>
        <v/>
      </c>
      <c r="AE218" s="161"/>
      <c r="AF218" s="161"/>
      <c r="AG218" s="161"/>
      <c r="AH218" s="137"/>
      <c r="AI218" s="164" t="str">
        <f t="shared" si="29"/>
        <v/>
      </c>
      <c r="AJ218" s="164" t="str">
        <f>IF(AND(OpenPendingCases[[#This Row],[Sale Status	]]="Open Sale",OpenPendingCases[[#This Row],[Potential Same Month]]="High"),TEXT(OpenPendingCases[[#This Row],[Request Entry Date]], "[$-en-us]mmmm"),"")</f>
        <v/>
      </c>
      <c r="AK218" s="165" t="str">
        <f>IFERROR(VALUE(SUBSTITUTE(OpenPendingCases[[#This Row],[Price]]," AED","")),"")</f>
        <v/>
      </c>
      <c r="AL218" s="165" t="str">
        <f>IFERROR(VALUE(LEFT(OpenPendingCases[[#This Row],[Price]],FIND(" ",OpenPendingCases[[#This Row],[Price]])-1)),"")</f>
        <v/>
      </c>
      <c r="AM218" s="165" t="str">
        <f>IFERROR(VALUE(_xlfn.TEXTBEFORE(OpenPendingCases[[#This Row],[Price]]," AED")),"")</f>
        <v/>
      </c>
      <c r="AN218" s="165"/>
    </row>
    <row r="219" spans="3:40" ht="18" hidden="1" x14ac:dyDescent="0.35">
      <c r="C219" s="134"/>
      <c r="D219" s="137" t="str">
        <f>IF($U219="Open Sale", IF(MAX($D$4:D218)+1=0, "", MAX($D$4:D218)+1), "")</f>
        <v/>
      </c>
      <c r="E219" s="137" t="str">
        <f>IF($U219="Pending Allocation", IF(MAX($E$4:E218)+1=0, "", MAX($E$4:E218)+1), "")</f>
        <v/>
      </c>
      <c r="F219" s="137"/>
      <c r="G219" s="137"/>
      <c r="H219" s="150"/>
      <c r="I219" s="150"/>
      <c r="J219" s="68" t="str">
        <f>IF(OpenPendingCases[[#This Row],[Timepiece Reference ]]="", "", IF(_xlfn.XLOOKUP(OpenPendingCases[[#This Row],[Timepiece Reference ]], Table1[[Timepiece Reference ]], Table1[CRC STOCK], "Not Found")="YES", "CRC Stock", "Boutique Stock"))</f>
        <v/>
      </c>
      <c r="K219" s="137" t="str">
        <f>IF(OpenPendingCases[[#This Row],[Timepiece Reference ]]="", "", IF(_xlfn.XLOOKUP(OpenPendingCases[[#This Row],[Timepiece Reference ]], Table1[[Timepiece Reference ]], Table1[CRC STOCK], "Not Found")="YES", "CRC Stock", "Boutique Stock"))</f>
        <v/>
      </c>
      <c r="L219" s="140"/>
      <c r="M219" s="141"/>
      <c r="N219" s="137"/>
      <c r="O219" s="134"/>
      <c r="P219" s="94" t="str">
        <f>IFERROR(VLOOKUP(TRIM(O219), Collection!$B$2:$D$1001, 2, FALSE), "")</f>
        <v/>
      </c>
      <c r="Q219" s="190" t="str">
        <f>IFERROR(VLOOKUP(TRIM(O219), Collection!$B$2:$D$1001, 3, FALSE), "")</f>
        <v/>
      </c>
      <c r="R219" s="153" t="str">
        <f t="shared" si="23"/>
        <v/>
      </c>
      <c r="S219" s="151"/>
      <c r="T219" s="158"/>
      <c r="U219" s="137"/>
      <c r="V219" s="137"/>
      <c r="W219" s="156" t="str">
        <f t="shared" si="27"/>
        <v/>
      </c>
      <c r="X219" s="157"/>
      <c r="Y219" s="158"/>
      <c r="Z219" s="158"/>
      <c r="AA219" s="137" t="str">
        <f t="shared" ca="1" si="28"/>
        <v/>
      </c>
      <c r="AB219" s="137" t="str">
        <f t="shared" ca="1" si="24"/>
        <v/>
      </c>
      <c r="AC219" s="160" t="str">
        <f t="shared" ca="1" si="25"/>
        <v/>
      </c>
      <c r="AD219" s="159" t="str">
        <f t="shared" ca="1" si="26"/>
        <v/>
      </c>
      <c r="AE219" s="161"/>
      <c r="AF219" s="161"/>
      <c r="AG219" s="161"/>
      <c r="AH219" s="137"/>
      <c r="AI219" s="164" t="str">
        <f t="shared" si="29"/>
        <v/>
      </c>
      <c r="AJ219" s="164" t="str">
        <f>IF(AND(OpenPendingCases[[#This Row],[Sale Status	]]="Open Sale",OpenPendingCases[[#This Row],[Potential Same Month]]="High"),TEXT(OpenPendingCases[[#This Row],[Request Entry Date]], "[$-en-us]mmmm"),"")</f>
        <v/>
      </c>
      <c r="AK219" s="165" t="str">
        <f>IFERROR(VALUE(SUBSTITUTE(OpenPendingCases[[#This Row],[Price]]," AED","")),"")</f>
        <v/>
      </c>
      <c r="AL219" s="165" t="str">
        <f>IFERROR(VALUE(LEFT(OpenPendingCases[[#This Row],[Price]],FIND(" ",OpenPendingCases[[#This Row],[Price]])-1)),"")</f>
        <v/>
      </c>
      <c r="AM219" s="165" t="str">
        <f>IFERROR(VALUE(_xlfn.TEXTBEFORE(OpenPendingCases[[#This Row],[Price]]," AED")),"")</f>
        <v/>
      </c>
      <c r="AN219" s="165"/>
    </row>
    <row r="220" spans="3:40" ht="18" hidden="1" x14ac:dyDescent="0.35">
      <c r="C220" s="134"/>
      <c r="D220" s="137" t="str">
        <f>IF($U220="Open Sale", IF(MAX($D$4:D219)+1=0, "", MAX($D$4:D219)+1), "")</f>
        <v/>
      </c>
      <c r="E220" s="137" t="str">
        <f>IF($U220="Pending Allocation", IF(MAX($E$4:E219)+1=0, "", MAX($E$4:E219)+1), "")</f>
        <v/>
      </c>
      <c r="F220" s="137"/>
      <c r="G220" s="137"/>
      <c r="H220" s="150"/>
      <c r="I220" s="150"/>
      <c r="J220" s="68" t="str">
        <f>IF(OpenPendingCases[[#This Row],[Timepiece Reference ]]="", "", IF(_xlfn.XLOOKUP(OpenPendingCases[[#This Row],[Timepiece Reference ]], Table1[[Timepiece Reference ]], Table1[CRC STOCK], "Not Found")="YES", "CRC Stock", "Boutique Stock"))</f>
        <v/>
      </c>
      <c r="K220" s="137" t="str">
        <f>IF(OpenPendingCases[[#This Row],[Timepiece Reference ]]="", "", IF(_xlfn.XLOOKUP(OpenPendingCases[[#This Row],[Timepiece Reference ]], Table1[[Timepiece Reference ]], Table1[CRC STOCK], "Not Found")="YES", "CRC Stock", "Boutique Stock"))</f>
        <v/>
      </c>
      <c r="L220" s="140"/>
      <c r="M220" s="141"/>
      <c r="N220" s="137"/>
      <c r="O220" s="134"/>
      <c r="P220" s="94" t="str">
        <f>IFERROR(VLOOKUP(TRIM(O220), Collection!$B$2:$D$1001, 2, FALSE), "")</f>
        <v/>
      </c>
      <c r="Q220" s="190" t="str">
        <f>IFERROR(VLOOKUP(TRIM(O220), Collection!$B$2:$D$1001, 3, FALSE), "")</f>
        <v/>
      </c>
      <c r="R220" s="153" t="str">
        <f t="shared" si="23"/>
        <v/>
      </c>
      <c r="S220" s="151"/>
      <c r="T220" s="158"/>
      <c r="U220" s="137"/>
      <c r="V220" s="137"/>
      <c r="W220" s="156" t="str">
        <f t="shared" si="27"/>
        <v/>
      </c>
      <c r="X220" s="157"/>
      <c r="Y220" s="158"/>
      <c r="Z220" s="158"/>
      <c r="AA220" s="137" t="str">
        <f t="shared" ca="1" si="28"/>
        <v/>
      </c>
      <c r="AB220" s="137" t="str">
        <f t="shared" ca="1" si="24"/>
        <v/>
      </c>
      <c r="AC220" s="160" t="str">
        <f t="shared" ca="1" si="25"/>
        <v/>
      </c>
      <c r="AD220" s="159" t="str">
        <f t="shared" ca="1" si="26"/>
        <v/>
      </c>
      <c r="AE220" s="161"/>
      <c r="AF220" s="161"/>
      <c r="AG220" s="161"/>
      <c r="AH220" s="137"/>
      <c r="AI220" s="164" t="str">
        <f t="shared" si="29"/>
        <v/>
      </c>
      <c r="AJ220" s="164" t="str">
        <f>IF(AND(OpenPendingCases[[#This Row],[Sale Status	]]="Open Sale",OpenPendingCases[[#This Row],[Potential Same Month]]="High"),TEXT(OpenPendingCases[[#This Row],[Request Entry Date]], "[$-en-us]mmmm"),"")</f>
        <v/>
      </c>
      <c r="AK220" s="165" t="str">
        <f>IFERROR(VALUE(SUBSTITUTE(OpenPendingCases[[#This Row],[Price]]," AED","")),"")</f>
        <v/>
      </c>
      <c r="AL220" s="165" t="str">
        <f>IFERROR(VALUE(LEFT(OpenPendingCases[[#This Row],[Price]],FIND(" ",OpenPendingCases[[#This Row],[Price]])-1)),"")</f>
        <v/>
      </c>
      <c r="AM220" s="165" t="str">
        <f>IFERROR(VALUE(_xlfn.TEXTBEFORE(OpenPendingCases[[#This Row],[Price]]," AED")),"")</f>
        <v/>
      </c>
      <c r="AN220" s="165"/>
    </row>
    <row r="221" spans="3:40" ht="18" hidden="1" x14ac:dyDescent="0.35">
      <c r="C221" s="134"/>
      <c r="D221" s="137" t="str">
        <f>IF($U221="Open Sale", IF(MAX($D$4:D220)+1=0, "", MAX($D$4:D220)+1), "")</f>
        <v/>
      </c>
      <c r="E221" s="137" t="str">
        <f>IF($U221="Pending Allocation", IF(MAX($E$4:E220)+1=0, "", MAX($E$4:E220)+1), "")</f>
        <v/>
      </c>
      <c r="F221" s="137"/>
      <c r="G221" s="137"/>
      <c r="H221" s="150"/>
      <c r="I221" s="150"/>
      <c r="J221" s="68" t="str">
        <f>IF(OpenPendingCases[[#This Row],[Timepiece Reference ]]="", "", IF(_xlfn.XLOOKUP(OpenPendingCases[[#This Row],[Timepiece Reference ]], Table1[[Timepiece Reference ]], Table1[CRC STOCK], "Not Found")="YES", "CRC Stock", "Boutique Stock"))</f>
        <v/>
      </c>
      <c r="K221" s="137" t="str">
        <f>IF(OpenPendingCases[[#This Row],[Timepiece Reference ]]="", "", IF(_xlfn.XLOOKUP(OpenPendingCases[[#This Row],[Timepiece Reference ]], Table1[[Timepiece Reference ]], Table1[CRC STOCK], "Not Found")="YES", "CRC Stock", "Boutique Stock"))</f>
        <v/>
      </c>
      <c r="L221" s="140"/>
      <c r="M221" s="141"/>
      <c r="N221" s="137"/>
      <c r="O221" s="134"/>
      <c r="P221" s="94" t="str">
        <f>IFERROR(VLOOKUP(TRIM(O221), Collection!$B$2:$D$1001, 2, FALSE), "")</f>
        <v/>
      </c>
      <c r="Q221" s="190" t="str">
        <f>IFERROR(VLOOKUP(TRIM(O221), Collection!$B$2:$D$1001, 3, FALSE), "")</f>
        <v/>
      </c>
      <c r="R221" s="153" t="str">
        <f t="shared" si="23"/>
        <v/>
      </c>
      <c r="S221" s="151"/>
      <c r="T221" s="158"/>
      <c r="U221" s="137"/>
      <c r="V221" s="137"/>
      <c r="W221" s="156" t="str">
        <f t="shared" si="27"/>
        <v/>
      </c>
      <c r="X221" s="157"/>
      <c r="Y221" s="158"/>
      <c r="Z221" s="158"/>
      <c r="AA221" s="137" t="str">
        <f t="shared" ca="1" si="28"/>
        <v/>
      </c>
      <c r="AB221" s="137" t="str">
        <f t="shared" ca="1" si="24"/>
        <v/>
      </c>
      <c r="AC221" s="160" t="str">
        <f t="shared" ca="1" si="25"/>
        <v/>
      </c>
      <c r="AD221" s="159" t="str">
        <f t="shared" ca="1" si="26"/>
        <v/>
      </c>
      <c r="AE221" s="161"/>
      <c r="AF221" s="161"/>
      <c r="AG221" s="161"/>
      <c r="AH221" s="137"/>
      <c r="AI221" s="164" t="str">
        <f t="shared" si="29"/>
        <v/>
      </c>
      <c r="AJ221" s="164" t="str">
        <f>IF(AND(OpenPendingCases[[#This Row],[Sale Status	]]="Open Sale",OpenPendingCases[[#This Row],[Potential Same Month]]="High"),TEXT(OpenPendingCases[[#This Row],[Request Entry Date]], "[$-en-us]mmmm"),"")</f>
        <v/>
      </c>
      <c r="AK221" s="165" t="str">
        <f>IFERROR(VALUE(SUBSTITUTE(OpenPendingCases[[#This Row],[Price]]," AED","")),"")</f>
        <v/>
      </c>
      <c r="AL221" s="165" t="str">
        <f>IFERROR(VALUE(LEFT(OpenPendingCases[[#This Row],[Price]],FIND(" ",OpenPendingCases[[#This Row],[Price]])-1)),"")</f>
        <v/>
      </c>
      <c r="AM221" s="165" t="str">
        <f>IFERROR(VALUE(_xlfn.TEXTBEFORE(OpenPendingCases[[#This Row],[Price]]," AED")),"")</f>
        <v/>
      </c>
      <c r="AN221" s="165"/>
    </row>
    <row r="222" spans="3:40" ht="18" hidden="1" x14ac:dyDescent="0.35">
      <c r="C222" s="134"/>
      <c r="D222" s="137" t="str">
        <f>IF($U222="Open Sale", IF(MAX($D$4:D221)+1=0, "", MAX($D$4:D221)+1), "")</f>
        <v/>
      </c>
      <c r="E222" s="137" t="str">
        <f>IF($U222="Pending Allocation", IF(MAX($E$4:E221)+1=0, "", MAX($E$4:E221)+1), "")</f>
        <v/>
      </c>
      <c r="F222" s="137"/>
      <c r="G222" s="137"/>
      <c r="H222" s="150"/>
      <c r="I222" s="150"/>
      <c r="J222" s="68" t="str">
        <f>IF(OpenPendingCases[[#This Row],[Timepiece Reference ]]="", "", IF(_xlfn.XLOOKUP(OpenPendingCases[[#This Row],[Timepiece Reference ]], Table1[[Timepiece Reference ]], Table1[CRC STOCK], "Not Found")="YES", "CRC Stock", "Boutique Stock"))</f>
        <v/>
      </c>
      <c r="K222" s="137" t="str">
        <f>IF(OpenPendingCases[[#This Row],[Timepiece Reference ]]="", "", IF(_xlfn.XLOOKUP(OpenPendingCases[[#This Row],[Timepiece Reference ]], Table1[[Timepiece Reference ]], Table1[CRC STOCK], "Not Found")="YES", "CRC Stock", "Boutique Stock"))</f>
        <v/>
      </c>
      <c r="L222" s="140"/>
      <c r="M222" s="141"/>
      <c r="N222" s="137"/>
      <c r="O222" s="134"/>
      <c r="P222" s="94" t="str">
        <f>IFERROR(VLOOKUP(TRIM(O222), Collection!$B$2:$D$1001, 2, FALSE), "")</f>
        <v/>
      </c>
      <c r="Q222" s="190" t="str">
        <f>IFERROR(VLOOKUP(TRIM(O222), Collection!$B$2:$D$1001, 3, FALSE), "")</f>
        <v/>
      </c>
      <c r="R222" s="153" t="str">
        <f t="shared" si="23"/>
        <v/>
      </c>
      <c r="S222" s="151"/>
      <c r="T222" s="158"/>
      <c r="U222" s="137"/>
      <c r="V222" s="137"/>
      <c r="W222" s="156" t="str">
        <f t="shared" si="27"/>
        <v/>
      </c>
      <c r="X222" s="157"/>
      <c r="Y222" s="158"/>
      <c r="Z222" s="158"/>
      <c r="AA222" s="137" t="str">
        <f t="shared" ca="1" si="28"/>
        <v/>
      </c>
      <c r="AB222" s="137" t="str">
        <f t="shared" ca="1" si="24"/>
        <v/>
      </c>
      <c r="AC222" s="160" t="str">
        <f t="shared" ca="1" si="25"/>
        <v/>
      </c>
      <c r="AD222" s="159" t="str">
        <f t="shared" ca="1" si="26"/>
        <v/>
      </c>
      <c r="AE222" s="161"/>
      <c r="AF222" s="161"/>
      <c r="AG222" s="161"/>
      <c r="AH222" s="137"/>
      <c r="AI222" s="164" t="str">
        <f t="shared" si="29"/>
        <v/>
      </c>
      <c r="AJ222" s="164" t="str">
        <f>IF(AND(OpenPendingCases[[#This Row],[Sale Status	]]="Open Sale",OpenPendingCases[[#This Row],[Potential Same Month]]="High"),TEXT(OpenPendingCases[[#This Row],[Request Entry Date]], "[$-en-us]mmmm"),"")</f>
        <v/>
      </c>
      <c r="AK222" s="165" t="str">
        <f>IFERROR(VALUE(SUBSTITUTE(OpenPendingCases[[#This Row],[Price]]," AED","")),"")</f>
        <v/>
      </c>
      <c r="AL222" s="165" t="str">
        <f>IFERROR(VALUE(LEFT(OpenPendingCases[[#This Row],[Price]],FIND(" ",OpenPendingCases[[#This Row],[Price]])-1)),"")</f>
        <v/>
      </c>
      <c r="AM222" s="165" t="str">
        <f>IFERROR(VALUE(_xlfn.TEXTBEFORE(OpenPendingCases[[#This Row],[Price]]," AED")),"")</f>
        <v/>
      </c>
      <c r="AN222" s="165"/>
    </row>
    <row r="223" spans="3:40" ht="18" hidden="1" x14ac:dyDescent="0.35">
      <c r="C223" s="134"/>
      <c r="D223" s="137" t="str">
        <f>IF($U223="Open Sale", IF(MAX($D$4:D222)+1=0, "", MAX($D$4:D222)+1), "")</f>
        <v/>
      </c>
      <c r="E223" s="137" t="str">
        <f>IF($U223="Pending Allocation", IF(MAX($E$4:E222)+1=0, "", MAX($E$4:E222)+1), "")</f>
        <v/>
      </c>
      <c r="F223" s="137"/>
      <c r="G223" s="137"/>
      <c r="H223" s="150"/>
      <c r="I223" s="150"/>
      <c r="J223" s="68" t="str">
        <f>IF(OpenPendingCases[[#This Row],[Timepiece Reference ]]="", "", IF(_xlfn.XLOOKUP(OpenPendingCases[[#This Row],[Timepiece Reference ]], Table1[[Timepiece Reference ]], Table1[CRC STOCK], "Not Found")="YES", "CRC Stock", "Boutique Stock"))</f>
        <v/>
      </c>
      <c r="K223" s="137" t="str">
        <f>IF(OpenPendingCases[[#This Row],[Timepiece Reference ]]="", "", IF(_xlfn.XLOOKUP(OpenPendingCases[[#This Row],[Timepiece Reference ]], Table1[[Timepiece Reference ]], Table1[CRC STOCK], "Not Found")="YES", "CRC Stock", "Boutique Stock"))</f>
        <v/>
      </c>
      <c r="L223" s="140"/>
      <c r="M223" s="141"/>
      <c r="N223" s="137"/>
      <c r="O223" s="134"/>
      <c r="P223" s="94" t="str">
        <f>IFERROR(VLOOKUP(TRIM(O223), Collection!$B$2:$D$1001, 2, FALSE), "")</f>
        <v/>
      </c>
      <c r="Q223" s="190" t="str">
        <f>IFERROR(VLOOKUP(TRIM(O223), Collection!$B$2:$D$1001, 3, FALSE), "")</f>
        <v/>
      </c>
      <c r="R223" s="153" t="str">
        <f t="shared" si="23"/>
        <v/>
      </c>
      <c r="S223" s="151"/>
      <c r="T223" s="158"/>
      <c r="U223" s="137"/>
      <c r="V223" s="137"/>
      <c r="W223" s="156" t="str">
        <f t="shared" si="27"/>
        <v/>
      </c>
      <c r="X223" s="157"/>
      <c r="Y223" s="158"/>
      <c r="Z223" s="158"/>
      <c r="AA223" s="137" t="str">
        <f t="shared" ca="1" si="28"/>
        <v/>
      </c>
      <c r="AB223" s="137" t="str">
        <f t="shared" ca="1" si="24"/>
        <v/>
      </c>
      <c r="AC223" s="160" t="str">
        <f t="shared" ca="1" si="25"/>
        <v/>
      </c>
      <c r="AD223" s="159" t="str">
        <f t="shared" ca="1" si="26"/>
        <v/>
      </c>
      <c r="AE223" s="161"/>
      <c r="AF223" s="161"/>
      <c r="AG223" s="161"/>
      <c r="AH223" s="137"/>
      <c r="AI223" s="164" t="str">
        <f t="shared" si="29"/>
        <v/>
      </c>
      <c r="AJ223" s="164" t="str">
        <f>IF(AND(OpenPendingCases[[#This Row],[Sale Status	]]="Open Sale",OpenPendingCases[[#This Row],[Potential Same Month]]="High"),TEXT(OpenPendingCases[[#This Row],[Request Entry Date]], "[$-en-us]mmmm"),"")</f>
        <v/>
      </c>
      <c r="AK223" s="165" t="str">
        <f>IFERROR(VALUE(SUBSTITUTE(OpenPendingCases[[#This Row],[Price]]," AED","")),"")</f>
        <v/>
      </c>
      <c r="AL223" s="165" t="str">
        <f>IFERROR(VALUE(LEFT(OpenPendingCases[[#This Row],[Price]],FIND(" ",OpenPendingCases[[#This Row],[Price]])-1)),"")</f>
        <v/>
      </c>
      <c r="AM223" s="165" t="str">
        <f>IFERROR(VALUE(_xlfn.TEXTBEFORE(OpenPendingCases[[#This Row],[Price]]," AED")),"")</f>
        <v/>
      </c>
      <c r="AN223" s="165"/>
    </row>
    <row r="224" spans="3:40" ht="18" hidden="1" x14ac:dyDescent="0.35">
      <c r="C224" s="134"/>
      <c r="D224" s="137" t="str">
        <f>IF($U224="Open Sale", IF(MAX($D$4:D223)+1=0, "", MAX($D$4:D223)+1), "")</f>
        <v/>
      </c>
      <c r="E224" s="137" t="str">
        <f>IF($U224="Pending Allocation", IF(MAX($E$4:E223)+1=0, "", MAX($E$4:E223)+1), "")</f>
        <v/>
      </c>
      <c r="F224" s="137"/>
      <c r="G224" s="137"/>
      <c r="H224" s="150"/>
      <c r="I224" s="150"/>
      <c r="J224" s="68" t="str">
        <f>IF(OpenPendingCases[[#This Row],[Timepiece Reference ]]="", "", IF(_xlfn.XLOOKUP(OpenPendingCases[[#This Row],[Timepiece Reference ]], Table1[[Timepiece Reference ]], Table1[CRC STOCK], "Not Found")="YES", "CRC Stock", "Boutique Stock"))</f>
        <v/>
      </c>
      <c r="K224" s="137" t="str">
        <f>IF(OpenPendingCases[[#This Row],[Timepiece Reference ]]="", "", IF(_xlfn.XLOOKUP(OpenPendingCases[[#This Row],[Timepiece Reference ]], Table1[[Timepiece Reference ]], Table1[CRC STOCK], "Not Found")="YES", "CRC Stock", "Boutique Stock"))</f>
        <v/>
      </c>
      <c r="L224" s="140"/>
      <c r="M224" s="141"/>
      <c r="N224" s="137"/>
      <c r="O224" s="134"/>
      <c r="P224" s="94" t="str">
        <f>IFERROR(VLOOKUP(TRIM(O224), Collection!$B$2:$D$1001, 2, FALSE), "")</f>
        <v/>
      </c>
      <c r="Q224" s="190" t="str">
        <f>IFERROR(VLOOKUP(TRIM(O224), Collection!$B$2:$D$1001, 3, FALSE), "")</f>
        <v/>
      </c>
      <c r="R224" s="153" t="str">
        <f t="shared" si="23"/>
        <v/>
      </c>
      <c r="S224" s="151"/>
      <c r="T224" s="158"/>
      <c r="U224" s="137"/>
      <c r="V224" s="137"/>
      <c r="W224" s="156" t="str">
        <f t="shared" si="27"/>
        <v/>
      </c>
      <c r="X224" s="157"/>
      <c r="Y224" s="158"/>
      <c r="Z224" s="158"/>
      <c r="AA224" s="137" t="str">
        <f t="shared" ca="1" si="28"/>
        <v/>
      </c>
      <c r="AB224" s="137" t="str">
        <f t="shared" ca="1" si="24"/>
        <v/>
      </c>
      <c r="AC224" s="160" t="str">
        <f t="shared" ca="1" si="25"/>
        <v/>
      </c>
      <c r="AD224" s="159" t="str">
        <f t="shared" ca="1" si="26"/>
        <v/>
      </c>
      <c r="AE224" s="161"/>
      <c r="AF224" s="161"/>
      <c r="AG224" s="161"/>
      <c r="AH224" s="137"/>
      <c r="AI224" s="164" t="str">
        <f t="shared" si="29"/>
        <v/>
      </c>
      <c r="AJ224" s="164" t="str">
        <f>IF(AND(OpenPendingCases[[#This Row],[Sale Status	]]="Open Sale",OpenPendingCases[[#This Row],[Potential Same Month]]="High"),TEXT(OpenPendingCases[[#This Row],[Request Entry Date]], "[$-en-us]mmmm"),"")</f>
        <v/>
      </c>
      <c r="AK224" s="165" t="str">
        <f>IFERROR(VALUE(SUBSTITUTE(OpenPendingCases[[#This Row],[Price]]," AED","")),"")</f>
        <v/>
      </c>
      <c r="AL224" s="165" t="str">
        <f>IFERROR(VALUE(LEFT(OpenPendingCases[[#This Row],[Price]],FIND(" ",OpenPendingCases[[#This Row],[Price]])-1)),"")</f>
        <v/>
      </c>
      <c r="AM224" s="165" t="str">
        <f>IFERROR(VALUE(_xlfn.TEXTBEFORE(OpenPendingCases[[#This Row],[Price]]," AED")),"")</f>
        <v/>
      </c>
      <c r="AN224" s="165"/>
    </row>
    <row r="225" spans="3:40" ht="18" hidden="1" x14ac:dyDescent="0.35">
      <c r="C225" s="134"/>
      <c r="D225" s="137" t="str">
        <f>IF($U225="Open Sale", IF(MAX($D$4:D224)+1=0, "", MAX($D$4:D224)+1), "")</f>
        <v/>
      </c>
      <c r="E225" s="137" t="str">
        <f>IF($U225="Pending Allocation", IF(MAX($E$4:E224)+1=0, "", MAX($E$4:E224)+1), "")</f>
        <v/>
      </c>
      <c r="F225" s="137"/>
      <c r="G225" s="137"/>
      <c r="H225" s="150"/>
      <c r="I225" s="150"/>
      <c r="J225" s="68" t="str">
        <f>IF(OpenPendingCases[[#This Row],[Timepiece Reference ]]="", "", IF(_xlfn.XLOOKUP(OpenPendingCases[[#This Row],[Timepiece Reference ]], Table1[[Timepiece Reference ]], Table1[CRC STOCK], "Not Found")="YES", "CRC Stock", "Boutique Stock"))</f>
        <v/>
      </c>
      <c r="K225" s="137" t="str">
        <f>IF(OpenPendingCases[[#This Row],[Timepiece Reference ]]="", "", IF(_xlfn.XLOOKUP(OpenPendingCases[[#This Row],[Timepiece Reference ]], Table1[[Timepiece Reference ]], Table1[CRC STOCK], "Not Found")="YES", "CRC Stock", "Boutique Stock"))</f>
        <v/>
      </c>
      <c r="L225" s="140"/>
      <c r="M225" s="141"/>
      <c r="N225" s="137"/>
      <c r="O225" s="134"/>
      <c r="P225" s="94" t="str">
        <f>IFERROR(VLOOKUP(TRIM(O225), Collection!$B$2:$D$1001, 2, FALSE), "")</f>
        <v/>
      </c>
      <c r="Q225" s="190" t="str">
        <f>IFERROR(VLOOKUP(TRIM(O225), Collection!$B$2:$D$1001, 3, FALSE), "")</f>
        <v/>
      </c>
      <c r="R225" s="153" t="str">
        <f t="shared" si="23"/>
        <v/>
      </c>
      <c r="S225" s="151"/>
      <c r="T225" s="158"/>
      <c r="U225" s="137"/>
      <c r="V225" s="137"/>
      <c r="W225" s="156" t="str">
        <f t="shared" si="27"/>
        <v/>
      </c>
      <c r="X225" s="157"/>
      <c r="Y225" s="158"/>
      <c r="Z225" s="158"/>
      <c r="AA225" s="137" t="str">
        <f t="shared" ca="1" si="28"/>
        <v/>
      </c>
      <c r="AB225" s="137" t="str">
        <f t="shared" ca="1" si="24"/>
        <v/>
      </c>
      <c r="AC225" s="160" t="str">
        <f t="shared" ca="1" si="25"/>
        <v/>
      </c>
      <c r="AD225" s="159" t="str">
        <f t="shared" ca="1" si="26"/>
        <v/>
      </c>
      <c r="AE225" s="161"/>
      <c r="AF225" s="161"/>
      <c r="AG225" s="161"/>
      <c r="AH225" s="137"/>
      <c r="AI225" s="164" t="str">
        <f t="shared" si="29"/>
        <v/>
      </c>
      <c r="AJ225" s="164" t="str">
        <f>IF(AND(OpenPendingCases[[#This Row],[Sale Status	]]="Open Sale",OpenPendingCases[[#This Row],[Potential Same Month]]="High"),TEXT(OpenPendingCases[[#This Row],[Request Entry Date]], "[$-en-us]mmmm"),"")</f>
        <v/>
      </c>
      <c r="AK225" s="165" t="str">
        <f>IFERROR(VALUE(SUBSTITUTE(OpenPendingCases[[#This Row],[Price]]," AED","")),"")</f>
        <v/>
      </c>
      <c r="AL225" s="165" t="str">
        <f>IFERROR(VALUE(LEFT(OpenPendingCases[[#This Row],[Price]],FIND(" ",OpenPendingCases[[#This Row],[Price]])-1)),"")</f>
        <v/>
      </c>
      <c r="AM225" s="165" t="str">
        <f>IFERROR(VALUE(_xlfn.TEXTBEFORE(OpenPendingCases[[#This Row],[Price]]," AED")),"")</f>
        <v/>
      </c>
      <c r="AN225" s="165"/>
    </row>
    <row r="226" spans="3:40" ht="18" hidden="1" x14ac:dyDescent="0.35">
      <c r="C226" s="134"/>
      <c r="D226" s="137" t="str">
        <f>IF($U226="Open Sale", IF(MAX($D$4:D225)+1=0, "", MAX($D$4:D225)+1), "")</f>
        <v/>
      </c>
      <c r="E226" s="137" t="str">
        <f>IF($U226="Pending Allocation", IF(MAX($E$4:E225)+1=0, "", MAX($E$4:E225)+1), "")</f>
        <v/>
      </c>
      <c r="F226" s="137"/>
      <c r="G226" s="137"/>
      <c r="H226" s="150"/>
      <c r="I226" s="150"/>
      <c r="J226" s="68" t="str">
        <f>IF(OpenPendingCases[[#This Row],[Timepiece Reference ]]="", "", IF(_xlfn.XLOOKUP(OpenPendingCases[[#This Row],[Timepiece Reference ]], Table1[[Timepiece Reference ]], Table1[CRC STOCK], "Not Found")="YES", "CRC Stock", "Boutique Stock"))</f>
        <v/>
      </c>
      <c r="K226" s="137" t="str">
        <f>IF(OpenPendingCases[[#This Row],[Timepiece Reference ]]="", "", IF(_xlfn.XLOOKUP(OpenPendingCases[[#This Row],[Timepiece Reference ]], Table1[[Timepiece Reference ]], Table1[CRC STOCK], "Not Found")="YES", "CRC Stock", "Boutique Stock"))</f>
        <v/>
      </c>
      <c r="L226" s="140"/>
      <c r="M226" s="141"/>
      <c r="N226" s="137"/>
      <c r="O226" s="134"/>
      <c r="P226" s="94" t="str">
        <f>IFERROR(VLOOKUP(TRIM(O226), Collection!$B$2:$D$1001, 2, FALSE), "")</f>
        <v/>
      </c>
      <c r="Q226" s="190" t="str">
        <f>IFERROR(VLOOKUP(TRIM(O226), Collection!$B$2:$D$1001, 3, FALSE), "")</f>
        <v/>
      </c>
      <c r="R226" s="153" t="str">
        <f t="shared" si="23"/>
        <v/>
      </c>
      <c r="S226" s="151"/>
      <c r="T226" s="158"/>
      <c r="U226" s="137"/>
      <c r="V226" s="137"/>
      <c r="W226" s="156" t="str">
        <f t="shared" si="27"/>
        <v/>
      </c>
      <c r="X226" s="157"/>
      <c r="Y226" s="158"/>
      <c r="Z226" s="158"/>
      <c r="AA226" s="137" t="str">
        <f t="shared" ca="1" si="28"/>
        <v/>
      </c>
      <c r="AB226" s="137" t="str">
        <f t="shared" ca="1" si="24"/>
        <v/>
      </c>
      <c r="AC226" s="160" t="str">
        <f t="shared" ca="1" si="25"/>
        <v/>
      </c>
      <c r="AD226" s="159" t="str">
        <f t="shared" ca="1" si="26"/>
        <v/>
      </c>
      <c r="AE226" s="161"/>
      <c r="AF226" s="161"/>
      <c r="AG226" s="161"/>
      <c r="AH226" s="137"/>
      <c r="AI226" s="164" t="str">
        <f t="shared" si="29"/>
        <v/>
      </c>
      <c r="AJ226" s="164" t="str">
        <f>IF(AND(OpenPendingCases[[#This Row],[Sale Status	]]="Open Sale",OpenPendingCases[[#This Row],[Potential Same Month]]="High"),TEXT(OpenPendingCases[[#This Row],[Request Entry Date]], "[$-en-us]mmmm"),"")</f>
        <v/>
      </c>
      <c r="AK226" s="165" t="str">
        <f>IFERROR(VALUE(SUBSTITUTE(OpenPendingCases[[#This Row],[Price]]," AED","")),"")</f>
        <v/>
      </c>
      <c r="AL226" s="165" t="str">
        <f>IFERROR(VALUE(LEFT(OpenPendingCases[[#This Row],[Price]],FIND(" ",OpenPendingCases[[#This Row],[Price]])-1)),"")</f>
        <v/>
      </c>
      <c r="AM226" s="165" t="str">
        <f>IFERROR(VALUE(_xlfn.TEXTBEFORE(OpenPendingCases[[#This Row],[Price]]," AED")),"")</f>
        <v/>
      </c>
      <c r="AN226" s="165"/>
    </row>
    <row r="227" spans="3:40" ht="18" hidden="1" x14ac:dyDescent="0.35">
      <c r="C227" s="134"/>
      <c r="D227" s="137" t="str">
        <f>IF($U227="Open Sale", IF(MAX($D$4:D226)+1=0, "", MAX($D$4:D226)+1), "")</f>
        <v/>
      </c>
      <c r="E227" s="137" t="str">
        <f>IF($U227="Pending Allocation", IF(MAX($E$4:E226)+1=0, "", MAX($E$4:E226)+1), "")</f>
        <v/>
      </c>
      <c r="F227" s="137"/>
      <c r="G227" s="137"/>
      <c r="H227" s="150"/>
      <c r="I227" s="150"/>
      <c r="J227" s="68" t="str">
        <f>IF(OpenPendingCases[[#This Row],[Timepiece Reference ]]="", "", IF(_xlfn.XLOOKUP(OpenPendingCases[[#This Row],[Timepiece Reference ]], Table1[[Timepiece Reference ]], Table1[CRC STOCK], "Not Found")="YES", "CRC Stock", "Boutique Stock"))</f>
        <v/>
      </c>
      <c r="K227" s="137" t="str">
        <f>IF(OpenPendingCases[[#This Row],[Timepiece Reference ]]="", "", IF(_xlfn.XLOOKUP(OpenPendingCases[[#This Row],[Timepiece Reference ]], Table1[[Timepiece Reference ]], Table1[CRC STOCK], "Not Found")="YES", "CRC Stock", "Boutique Stock"))</f>
        <v/>
      </c>
      <c r="L227" s="140"/>
      <c r="M227" s="141"/>
      <c r="N227" s="137"/>
      <c r="O227" s="134"/>
      <c r="P227" s="94" t="str">
        <f>IFERROR(VLOOKUP(TRIM(O227), Collection!$B$2:$D$1001, 2, FALSE), "")</f>
        <v/>
      </c>
      <c r="Q227" s="190" t="str">
        <f>IFERROR(VLOOKUP(TRIM(O227), Collection!$B$2:$D$1001, 3, FALSE), "")</f>
        <v/>
      </c>
      <c r="R227" s="153" t="str">
        <f t="shared" si="23"/>
        <v/>
      </c>
      <c r="S227" s="151"/>
      <c r="T227" s="158"/>
      <c r="U227" s="137"/>
      <c r="V227" s="137"/>
      <c r="W227" s="156" t="str">
        <f t="shared" si="27"/>
        <v/>
      </c>
      <c r="X227" s="157"/>
      <c r="Y227" s="158"/>
      <c r="Z227" s="158"/>
      <c r="AA227" s="137" t="str">
        <f t="shared" ca="1" si="28"/>
        <v/>
      </c>
      <c r="AB227" s="137" t="str">
        <f t="shared" ca="1" si="24"/>
        <v/>
      </c>
      <c r="AC227" s="160" t="str">
        <f t="shared" ca="1" si="25"/>
        <v/>
      </c>
      <c r="AD227" s="159" t="str">
        <f t="shared" ca="1" si="26"/>
        <v/>
      </c>
      <c r="AE227" s="161"/>
      <c r="AF227" s="161"/>
      <c r="AG227" s="161"/>
      <c r="AH227" s="137"/>
      <c r="AI227" s="164" t="str">
        <f t="shared" si="29"/>
        <v/>
      </c>
      <c r="AJ227" s="164" t="str">
        <f>IF(AND(OpenPendingCases[[#This Row],[Sale Status	]]="Open Sale",OpenPendingCases[[#This Row],[Potential Same Month]]="High"),TEXT(OpenPendingCases[[#This Row],[Request Entry Date]], "[$-en-us]mmmm"),"")</f>
        <v/>
      </c>
      <c r="AK227" s="165" t="str">
        <f>IFERROR(VALUE(SUBSTITUTE(OpenPendingCases[[#This Row],[Price]]," AED","")),"")</f>
        <v/>
      </c>
      <c r="AL227" s="165" t="str">
        <f>IFERROR(VALUE(LEFT(OpenPendingCases[[#This Row],[Price]],FIND(" ",OpenPendingCases[[#This Row],[Price]])-1)),"")</f>
        <v/>
      </c>
      <c r="AM227" s="165" t="str">
        <f>IFERROR(VALUE(_xlfn.TEXTBEFORE(OpenPendingCases[[#This Row],[Price]]," AED")),"")</f>
        <v/>
      </c>
      <c r="AN227" s="165"/>
    </row>
    <row r="228" spans="3:40" ht="18" hidden="1" x14ac:dyDescent="0.35">
      <c r="C228" s="134"/>
      <c r="D228" s="137" t="str">
        <f>IF($U228="Open Sale", IF(MAX($D$4:D227)+1=0, "", MAX($D$4:D227)+1), "")</f>
        <v/>
      </c>
      <c r="E228" s="137" t="str">
        <f>IF($U228="Pending Allocation", IF(MAX($E$4:E227)+1=0, "", MAX($E$4:E227)+1), "")</f>
        <v/>
      </c>
      <c r="F228" s="137"/>
      <c r="G228" s="137"/>
      <c r="H228" s="150"/>
      <c r="I228" s="150"/>
      <c r="J228" s="68" t="str">
        <f>IF(OpenPendingCases[[#This Row],[Timepiece Reference ]]="", "", IF(_xlfn.XLOOKUP(OpenPendingCases[[#This Row],[Timepiece Reference ]], Table1[[Timepiece Reference ]], Table1[CRC STOCK], "Not Found")="YES", "CRC Stock", "Boutique Stock"))</f>
        <v/>
      </c>
      <c r="K228" s="137" t="str">
        <f>IF(OpenPendingCases[[#This Row],[Timepiece Reference ]]="", "", IF(_xlfn.XLOOKUP(OpenPendingCases[[#This Row],[Timepiece Reference ]], Table1[[Timepiece Reference ]], Table1[CRC STOCK], "Not Found")="YES", "CRC Stock", "Boutique Stock"))</f>
        <v/>
      </c>
      <c r="L228" s="140"/>
      <c r="M228" s="141"/>
      <c r="N228" s="137"/>
      <c r="O228" s="134"/>
      <c r="P228" s="94" t="str">
        <f>IFERROR(VLOOKUP(TRIM(O228), Collection!$B$2:$D$1001, 2, FALSE), "")</f>
        <v/>
      </c>
      <c r="Q228" s="190" t="str">
        <f>IFERROR(VLOOKUP(TRIM(O228), Collection!$B$2:$D$1001, 3, FALSE), "")</f>
        <v/>
      </c>
      <c r="R228" s="153" t="str">
        <f t="shared" si="23"/>
        <v/>
      </c>
      <c r="S228" s="151"/>
      <c r="T228" s="158"/>
      <c r="U228" s="137"/>
      <c r="V228" s="137"/>
      <c r="W228" s="156" t="str">
        <f t="shared" si="27"/>
        <v/>
      </c>
      <c r="X228" s="157"/>
      <c r="Y228" s="158"/>
      <c r="Z228" s="158"/>
      <c r="AA228" s="137" t="str">
        <f t="shared" ca="1" si="28"/>
        <v/>
      </c>
      <c r="AB228" s="137" t="str">
        <f t="shared" ca="1" si="24"/>
        <v/>
      </c>
      <c r="AC228" s="160" t="str">
        <f t="shared" ca="1" si="25"/>
        <v/>
      </c>
      <c r="AD228" s="159" t="str">
        <f t="shared" ca="1" si="26"/>
        <v/>
      </c>
      <c r="AE228" s="161"/>
      <c r="AF228" s="161"/>
      <c r="AG228" s="161"/>
      <c r="AH228" s="137"/>
      <c r="AI228" s="164" t="str">
        <f t="shared" si="29"/>
        <v/>
      </c>
      <c r="AJ228" s="164" t="str">
        <f>IF(AND(OpenPendingCases[[#This Row],[Sale Status	]]="Open Sale",OpenPendingCases[[#This Row],[Potential Same Month]]="High"),TEXT(OpenPendingCases[[#This Row],[Request Entry Date]], "[$-en-us]mmmm"),"")</f>
        <v/>
      </c>
      <c r="AK228" s="165" t="str">
        <f>IFERROR(VALUE(SUBSTITUTE(OpenPendingCases[[#This Row],[Price]]," AED","")),"")</f>
        <v/>
      </c>
      <c r="AL228" s="165" t="str">
        <f>IFERROR(VALUE(LEFT(OpenPendingCases[[#This Row],[Price]],FIND(" ",OpenPendingCases[[#This Row],[Price]])-1)),"")</f>
        <v/>
      </c>
      <c r="AM228" s="165" t="str">
        <f>IFERROR(VALUE(_xlfn.TEXTBEFORE(OpenPendingCases[[#This Row],[Price]]," AED")),"")</f>
        <v/>
      </c>
      <c r="AN228" s="165"/>
    </row>
    <row r="229" spans="3:40" ht="18" hidden="1" x14ac:dyDescent="0.35">
      <c r="C229" s="134"/>
      <c r="D229" s="137" t="str">
        <f>IF($U229="Open Sale", IF(MAX($D$4:D228)+1=0, "", MAX($D$4:D228)+1), "")</f>
        <v/>
      </c>
      <c r="E229" s="137" t="str">
        <f>IF($U229="Pending Allocation", IF(MAX($E$4:E228)+1=0, "", MAX($E$4:E228)+1), "")</f>
        <v/>
      </c>
      <c r="F229" s="137"/>
      <c r="G229" s="137"/>
      <c r="H229" s="150"/>
      <c r="I229" s="150"/>
      <c r="J229" s="68" t="str">
        <f>IF(OpenPendingCases[[#This Row],[Timepiece Reference ]]="", "", IF(_xlfn.XLOOKUP(OpenPendingCases[[#This Row],[Timepiece Reference ]], Table1[[Timepiece Reference ]], Table1[CRC STOCK], "Not Found")="YES", "CRC Stock", "Boutique Stock"))</f>
        <v/>
      </c>
      <c r="K229" s="137" t="str">
        <f>IF(OpenPendingCases[[#This Row],[Timepiece Reference ]]="", "", IF(_xlfn.XLOOKUP(OpenPendingCases[[#This Row],[Timepiece Reference ]], Table1[[Timepiece Reference ]], Table1[CRC STOCK], "Not Found")="YES", "CRC Stock", "Boutique Stock"))</f>
        <v/>
      </c>
      <c r="L229" s="140"/>
      <c r="M229" s="141"/>
      <c r="N229" s="137"/>
      <c r="O229" s="134"/>
      <c r="P229" s="94" t="str">
        <f>IFERROR(VLOOKUP(TRIM(O229), Collection!$B$2:$D$1001, 2, FALSE), "")</f>
        <v/>
      </c>
      <c r="Q229" s="190" t="str">
        <f>IFERROR(VLOOKUP(TRIM(O229), Collection!$B$2:$D$1001, 3, FALSE), "")</f>
        <v/>
      </c>
      <c r="R229" s="153" t="str">
        <f t="shared" si="23"/>
        <v/>
      </c>
      <c r="S229" s="151"/>
      <c r="T229" s="158"/>
      <c r="U229" s="137"/>
      <c r="V229" s="137"/>
      <c r="W229" s="156" t="str">
        <f t="shared" si="27"/>
        <v/>
      </c>
      <c r="X229" s="157"/>
      <c r="Y229" s="158"/>
      <c r="Z229" s="158"/>
      <c r="AA229" s="137" t="str">
        <f t="shared" ca="1" si="28"/>
        <v/>
      </c>
      <c r="AB229" s="137" t="str">
        <f t="shared" ca="1" si="24"/>
        <v/>
      </c>
      <c r="AC229" s="160" t="str">
        <f t="shared" ca="1" si="25"/>
        <v/>
      </c>
      <c r="AD229" s="159" t="str">
        <f t="shared" ca="1" si="26"/>
        <v/>
      </c>
      <c r="AE229" s="161"/>
      <c r="AF229" s="161"/>
      <c r="AG229" s="161"/>
      <c r="AH229" s="137"/>
      <c r="AI229" s="164" t="str">
        <f t="shared" si="29"/>
        <v/>
      </c>
      <c r="AJ229" s="164" t="str">
        <f>IF(AND(OpenPendingCases[[#This Row],[Sale Status	]]="Open Sale",OpenPendingCases[[#This Row],[Potential Same Month]]="High"),TEXT(OpenPendingCases[[#This Row],[Request Entry Date]], "[$-en-us]mmmm"),"")</f>
        <v/>
      </c>
      <c r="AK229" s="165" t="str">
        <f>IFERROR(VALUE(SUBSTITUTE(OpenPendingCases[[#This Row],[Price]]," AED","")),"")</f>
        <v/>
      </c>
      <c r="AL229" s="165" t="str">
        <f>IFERROR(VALUE(LEFT(OpenPendingCases[[#This Row],[Price]],FIND(" ",OpenPendingCases[[#This Row],[Price]])-1)),"")</f>
        <v/>
      </c>
      <c r="AM229" s="165" t="str">
        <f>IFERROR(VALUE(_xlfn.TEXTBEFORE(OpenPendingCases[[#This Row],[Price]]," AED")),"")</f>
        <v/>
      </c>
      <c r="AN229" s="165"/>
    </row>
    <row r="230" spans="3:40" ht="18" hidden="1" x14ac:dyDescent="0.35">
      <c r="C230" s="134"/>
      <c r="D230" s="137" t="str">
        <f>IF($U230="Open Sale", IF(MAX($D$4:D229)+1=0, "", MAX($D$4:D229)+1), "")</f>
        <v/>
      </c>
      <c r="E230" s="137" t="str">
        <f>IF($U230="Pending Allocation", IF(MAX($E$4:E229)+1=0, "", MAX($E$4:E229)+1), "")</f>
        <v/>
      </c>
      <c r="F230" s="137"/>
      <c r="G230" s="137"/>
      <c r="H230" s="150"/>
      <c r="I230" s="150"/>
      <c r="J230" s="68" t="str">
        <f>IF(OpenPendingCases[[#This Row],[Timepiece Reference ]]="", "", IF(_xlfn.XLOOKUP(OpenPendingCases[[#This Row],[Timepiece Reference ]], Table1[[Timepiece Reference ]], Table1[CRC STOCK], "Not Found")="YES", "CRC Stock", "Boutique Stock"))</f>
        <v/>
      </c>
      <c r="K230" s="137" t="str">
        <f>IF(OpenPendingCases[[#This Row],[Timepiece Reference ]]="", "", IF(_xlfn.XLOOKUP(OpenPendingCases[[#This Row],[Timepiece Reference ]], Table1[[Timepiece Reference ]], Table1[CRC STOCK], "Not Found")="YES", "CRC Stock", "Boutique Stock"))</f>
        <v/>
      </c>
      <c r="L230" s="140"/>
      <c r="M230" s="141"/>
      <c r="N230" s="137"/>
      <c r="O230" s="134"/>
      <c r="P230" s="94" t="str">
        <f>IFERROR(VLOOKUP(TRIM(O230), Collection!$B$2:$D$1001, 2, FALSE), "")</f>
        <v/>
      </c>
      <c r="Q230" s="190" t="str">
        <f>IFERROR(VLOOKUP(TRIM(O230), Collection!$B$2:$D$1001, 3, FALSE), "")</f>
        <v/>
      </c>
      <c r="R230" s="153" t="str">
        <f t="shared" si="23"/>
        <v/>
      </c>
      <c r="S230" s="151"/>
      <c r="T230" s="158"/>
      <c r="U230" s="137"/>
      <c r="V230" s="137"/>
      <c r="W230" s="156" t="str">
        <f t="shared" si="27"/>
        <v/>
      </c>
      <c r="X230" s="157"/>
      <c r="Y230" s="158"/>
      <c r="Z230" s="158"/>
      <c r="AA230" s="137" t="str">
        <f t="shared" ca="1" si="28"/>
        <v/>
      </c>
      <c r="AB230" s="137" t="str">
        <f t="shared" ca="1" si="24"/>
        <v/>
      </c>
      <c r="AC230" s="160" t="str">
        <f t="shared" ca="1" si="25"/>
        <v/>
      </c>
      <c r="AD230" s="159" t="str">
        <f t="shared" ca="1" si="26"/>
        <v/>
      </c>
      <c r="AE230" s="161"/>
      <c r="AF230" s="161"/>
      <c r="AG230" s="161"/>
      <c r="AH230" s="137"/>
      <c r="AI230" s="164" t="str">
        <f t="shared" si="29"/>
        <v/>
      </c>
      <c r="AJ230" s="164" t="str">
        <f>IF(AND(OpenPendingCases[[#This Row],[Sale Status	]]="Open Sale",OpenPendingCases[[#This Row],[Potential Same Month]]="High"),TEXT(OpenPendingCases[[#This Row],[Request Entry Date]], "[$-en-us]mmmm"),"")</f>
        <v/>
      </c>
      <c r="AK230" s="165" t="str">
        <f>IFERROR(VALUE(SUBSTITUTE(OpenPendingCases[[#This Row],[Price]]," AED","")),"")</f>
        <v/>
      </c>
      <c r="AL230" s="165" t="str">
        <f>IFERROR(VALUE(LEFT(OpenPendingCases[[#This Row],[Price]],FIND(" ",OpenPendingCases[[#This Row],[Price]])-1)),"")</f>
        <v/>
      </c>
      <c r="AM230" s="165" t="str">
        <f>IFERROR(VALUE(_xlfn.TEXTBEFORE(OpenPendingCases[[#This Row],[Price]]," AED")),"")</f>
        <v/>
      </c>
      <c r="AN230" s="165"/>
    </row>
    <row r="231" spans="3:40" ht="18" hidden="1" x14ac:dyDescent="0.35">
      <c r="C231" s="134"/>
      <c r="D231" s="137" t="str">
        <f>IF($U231="Open Sale", IF(MAX($D$4:D230)+1=0, "", MAX($D$4:D230)+1), "")</f>
        <v/>
      </c>
      <c r="E231" s="137" t="str">
        <f>IF($U231="Pending Allocation", IF(MAX($E$4:E230)+1=0, "", MAX($E$4:E230)+1), "")</f>
        <v/>
      </c>
      <c r="F231" s="137"/>
      <c r="G231" s="137"/>
      <c r="H231" s="150"/>
      <c r="I231" s="150"/>
      <c r="J231" s="68" t="str">
        <f>IF(OpenPendingCases[[#This Row],[Timepiece Reference ]]="", "", IF(_xlfn.XLOOKUP(OpenPendingCases[[#This Row],[Timepiece Reference ]], Table1[[Timepiece Reference ]], Table1[CRC STOCK], "Not Found")="YES", "CRC Stock", "Boutique Stock"))</f>
        <v/>
      </c>
      <c r="K231" s="137" t="str">
        <f>IF(OpenPendingCases[[#This Row],[Timepiece Reference ]]="", "", IF(_xlfn.XLOOKUP(OpenPendingCases[[#This Row],[Timepiece Reference ]], Table1[[Timepiece Reference ]], Table1[CRC STOCK], "Not Found")="YES", "CRC Stock", "Boutique Stock"))</f>
        <v/>
      </c>
      <c r="L231" s="140"/>
      <c r="M231" s="141"/>
      <c r="N231" s="137"/>
      <c r="O231" s="134"/>
      <c r="P231" s="94" t="str">
        <f>IFERROR(VLOOKUP(TRIM(O231), Collection!$B$2:$D$1001, 2, FALSE), "")</f>
        <v/>
      </c>
      <c r="Q231" s="190" t="str">
        <f>IFERROR(VLOOKUP(TRIM(O231), Collection!$B$2:$D$1001, 3, FALSE), "")</f>
        <v/>
      </c>
      <c r="R231" s="153" t="str">
        <f t="shared" si="23"/>
        <v/>
      </c>
      <c r="S231" s="151"/>
      <c r="T231" s="158"/>
      <c r="U231" s="137"/>
      <c r="V231" s="137"/>
      <c r="W231" s="156" t="str">
        <f t="shared" si="27"/>
        <v/>
      </c>
      <c r="X231" s="157"/>
      <c r="Y231" s="158"/>
      <c r="Z231" s="158"/>
      <c r="AA231" s="137" t="str">
        <f t="shared" ca="1" si="28"/>
        <v/>
      </c>
      <c r="AB231" s="137" t="str">
        <f t="shared" ca="1" si="24"/>
        <v/>
      </c>
      <c r="AC231" s="160" t="str">
        <f t="shared" ca="1" si="25"/>
        <v/>
      </c>
      <c r="AD231" s="159" t="str">
        <f t="shared" ca="1" si="26"/>
        <v/>
      </c>
      <c r="AE231" s="161"/>
      <c r="AF231" s="161"/>
      <c r="AG231" s="161"/>
      <c r="AH231" s="137"/>
      <c r="AI231" s="164" t="str">
        <f t="shared" si="29"/>
        <v/>
      </c>
      <c r="AJ231" s="164" t="str">
        <f>IF(AND(OpenPendingCases[[#This Row],[Sale Status	]]="Open Sale",OpenPendingCases[[#This Row],[Potential Same Month]]="High"),TEXT(OpenPendingCases[[#This Row],[Request Entry Date]], "[$-en-us]mmmm"),"")</f>
        <v/>
      </c>
      <c r="AK231" s="165" t="str">
        <f>IFERROR(VALUE(SUBSTITUTE(OpenPendingCases[[#This Row],[Price]]," AED","")),"")</f>
        <v/>
      </c>
      <c r="AL231" s="165" t="str">
        <f>IFERROR(VALUE(LEFT(OpenPendingCases[[#This Row],[Price]],FIND(" ",OpenPendingCases[[#This Row],[Price]])-1)),"")</f>
        <v/>
      </c>
      <c r="AM231" s="165" t="str">
        <f>IFERROR(VALUE(_xlfn.TEXTBEFORE(OpenPendingCases[[#This Row],[Price]]," AED")),"")</f>
        <v/>
      </c>
      <c r="AN231" s="165"/>
    </row>
    <row r="232" spans="3:40" ht="18" hidden="1" x14ac:dyDescent="0.35">
      <c r="C232" s="134"/>
      <c r="D232" s="137" t="str">
        <f>IF($U232="Open Sale", IF(MAX($D$4:D231)+1=0, "", MAX($D$4:D231)+1), "")</f>
        <v/>
      </c>
      <c r="E232" s="137" t="str">
        <f>IF($U232="Pending Allocation", IF(MAX($E$4:E231)+1=0, "", MAX($E$4:E231)+1), "")</f>
        <v/>
      </c>
      <c r="F232" s="137"/>
      <c r="G232" s="137"/>
      <c r="H232" s="150"/>
      <c r="I232" s="150"/>
      <c r="J232" s="68" t="str">
        <f>IF(OpenPendingCases[[#This Row],[Timepiece Reference ]]="", "", IF(_xlfn.XLOOKUP(OpenPendingCases[[#This Row],[Timepiece Reference ]], Table1[[Timepiece Reference ]], Table1[CRC STOCK], "Not Found")="YES", "CRC Stock", "Boutique Stock"))</f>
        <v/>
      </c>
      <c r="K232" s="137" t="str">
        <f>IF(OpenPendingCases[[#This Row],[Timepiece Reference ]]="", "", IF(_xlfn.XLOOKUP(OpenPendingCases[[#This Row],[Timepiece Reference ]], Table1[[Timepiece Reference ]], Table1[CRC STOCK], "Not Found")="YES", "CRC Stock", "Boutique Stock"))</f>
        <v/>
      </c>
      <c r="L232" s="140"/>
      <c r="M232" s="141"/>
      <c r="N232" s="137"/>
      <c r="O232" s="134"/>
      <c r="P232" s="94" t="str">
        <f>IFERROR(VLOOKUP(TRIM(O232), Collection!$B$2:$D$1001, 2, FALSE), "")</f>
        <v/>
      </c>
      <c r="Q232" s="190" t="str">
        <f>IFERROR(VLOOKUP(TRIM(O232), Collection!$B$2:$D$1001, 3, FALSE), "")</f>
        <v/>
      </c>
      <c r="R232" s="153" t="str">
        <f t="shared" si="23"/>
        <v/>
      </c>
      <c r="S232" s="151"/>
      <c r="T232" s="158"/>
      <c r="U232" s="137"/>
      <c r="V232" s="137"/>
      <c r="W232" s="156" t="str">
        <f t="shared" si="27"/>
        <v/>
      </c>
      <c r="X232" s="157"/>
      <c r="Y232" s="158"/>
      <c r="Z232" s="158"/>
      <c r="AA232" s="137" t="str">
        <f t="shared" ca="1" si="28"/>
        <v/>
      </c>
      <c r="AB232" s="137" t="str">
        <f t="shared" ca="1" si="24"/>
        <v/>
      </c>
      <c r="AC232" s="160" t="str">
        <f t="shared" ca="1" si="25"/>
        <v/>
      </c>
      <c r="AD232" s="159" t="str">
        <f t="shared" ca="1" si="26"/>
        <v/>
      </c>
      <c r="AE232" s="161"/>
      <c r="AF232" s="161"/>
      <c r="AG232" s="161"/>
      <c r="AH232" s="137"/>
      <c r="AI232" s="164" t="str">
        <f t="shared" si="29"/>
        <v/>
      </c>
      <c r="AJ232" s="164" t="str">
        <f>IF(AND(OpenPendingCases[[#This Row],[Sale Status	]]="Open Sale",OpenPendingCases[[#This Row],[Potential Same Month]]="High"),TEXT(OpenPendingCases[[#This Row],[Request Entry Date]], "[$-en-us]mmmm"),"")</f>
        <v/>
      </c>
      <c r="AK232" s="165" t="str">
        <f>IFERROR(VALUE(SUBSTITUTE(OpenPendingCases[[#This Row],[Price]]," AED","")),"")</f>
        <v/>
      </c>
      <c r="AL232" s="165" t="str">
        <f>IFERROR(VALUE(LEFT(OpenPendingCases[[#This Row],[Price]],FIND(" ",OpenPendingCases[[#This Row],[Price]])-1)),"")</f>
        <v/>
      </c>
      <c r="AM232" s="165" t="str">
        <f>IFERROR(VALUE(_xlfn.TEXTBEFORE(OpenPendingCases[[#This Row],[Price]]," AED")),"")</f>
        <v/>
      </c>
      <c r="AN232" s="165"/>
    </row>
    <row r="233" spans="3:40" ht="18" hidden="1" x14ac:dyDescent="0.35">
      <c r="C233" s="134"/>
      <c r="D233" s="137" t="str">
        <f>IF($U233="Open Sale", IF(MAX($D$4:D232)+1=0, "", MAX($D$4:D232)+1), "")</f>
        <v/>
      </c>
      <c r="E233" s="137" t="str">
        <f>IF($U233="Pending Allocation", IF(MAX($E$4:E232)+1=0, "", MAX($E$4:E232)+1), "")</f>
        <v/>
      </c>
      <c r="F233" s="137"/>
      <c r="G233" s="137"/>
      <c r="H233" s="150"/>
      <c r="I233" s="150"/>
      <c r="J233" s="68" t="str">
        <f>IF(OpenPendingCases[[#This Row],[Timepiece Reference ]]="", "", IF(_xlfn.XLOOKUP(OpenPendingCases[[#This Row],[Timepiece Reference ]], Table1[[Timepiece Reference ]], Table1[CRC STOCK], "Not Found")="YES", "CRC Stock", "Boutique Stock"))</f>
        <v/>
      </c>
      <c r="K233" s="137" t="str">
        <f>IF(OpenPendingCases[[#This Row],[Timepiece Reference ]]="", "", IF(_xlfn.XLOOKUP(OpenPendingCases[[#This Row],[Timepiece Reference ]], Table1[[Timepiece Reference ]], Table1[CRC STOCK], "Not Found")="YES", "CRC Stock", "Boutique Stock"))</f>
        <v/>
      </c>
      <c r="L233" s="140"/>
      <c r="M233" s="141"/>
      <c r="N233" s="137"/>
      <c r="O233" s="134"/>
      <c r="P233" s="94" t="str">
        <f>IFERROR(VLOOKUP(TRIM(O233), Collection!$B$2:$D$1001, 2, FALSE), "")</f>
        <v/>
      </c>
      <c r="Q233" s="190" t="str">
        <f>IFERROR(VLOOKUP(TRIM(O233), Collection!$B$2:$D$1001, 3, FALSE), "")</f>
        <v/>
      </c>
      <c r="R233" s="153" t="str">
        <f t="shared" si="23"/>
        <v/>
      </c>
      <c r="S233" s="151"/>
      <c r="T233" s="158"/>
      <c r="U233" s="137"/>
      <c r="V233" s="137"/>
      <c r="W233" s="156" t="str">
        <f t="shared" si="27"/>
        <v/>
      </c>
      <c r="X233" s="157"/>
      <c r="Y233" s="158"/>
      <c r="Z233" s="158"/>
      <c r="AA233" s="137" t="str">
        <f t="shared" ca="1" si="28"/>
        <v/>
      </c>
      <c r="AB233" s="137" t="str">
        <f t="shared" ca="1" si="24"/>
        <v/>
      </c>
      <c r="AC233" s="160" t="str">
        <f t="shared" ca="1" si="25"/>
        <v/>
      </c>
      <c r="AD233" s="159" t="str">
        <f t="shared" ca="1" si="26"/>
        <v/>
      </c>
      <c r="AE233" s="161"/>
      <c r="AF233" s="161"/>
      <c r="AG233" s="161"/>
      <c r="AH233" s="137"/>
      <c r="AI233" s="164" t="str">
        <f t="shared" si="29"/>
        <v/>
      </c>
      <c r="AJ233" s="164" t="str">
        <f>IF(AND(OpenPendingCases[[#This Row],[Sale Status	]]="Open Sale",OpenPendingCases[[#This Row],[Potential Same Month]]="High"),TEXT(OpenPendingCases[[#This Row],[Request Entry Date]], "[$-en-us]mmmm"),"")</f>
        <v/>
      </c>
      <c r="AK233" s="165" t="str">
        <f>IFERROR(VALUE(SUBSTITUTE(OpenPendingCases[[#This Row],[Price]]," AED","")),"")</f>
        <v/>
      </c>
      <c r="AL233" s="165" t="str">
        <f>IFERROR(VALUE(LEFT(OpenPendingCases[[#This Row],[Price]],FIND(" ",OpenPendingCases[[#This Row],[Price]])-1)),"")</f>
        <v/>
      </c>
      <c r="AM233" s="165" t="str">
        <f>IFERROR(VALUE(_xlfn.TEXTBEFORE(OpenPendingCases[[#This Row],[Price]]," AED")),"")</f>
        <v/>
      </c>
      <c r="AN233" s="165"/>
    </row>
    <row r="234" spans="3:40" ht="18" hidden="1" x14ac:dyDescent="0.35">
      <c r="C234" s="134"/>
      <c r="D234" s="137" t="str">
        <f>IF($U234="Open Sale", IF(MAX($D$4:D233)+1=0, "", MAX($D$4:D233)+1), "")</f>
        <v/>
      </c>
      <c r="E234" s="137" t="str">
        <f>IF($U234="Pending Allocation", IF(MAX($E$4:E233)+1=0, "", MAX($E$4:E233)+1), "")</f>
        <v/>
      </c>
      <c r="F234" s="137"/>
      <c r="G234" s="137"/>
      <c r="H234" s="150"/>
      <c r="I234" s="150"/>
      <c r="J234" s="68" t="str">
        <f>IF(OpenPendingCases[[#This Row],[Timepiece Reference ]]="", "", IF(_xlfn.XLOOKUP(OpenPendingCases[[#This Row],[Timepiece Reference ]], Table1[[Timepiece Reference ]], Table1[CRC STOCK], "Not Found")="YES", "CRC Stock", "Boutique Stock"))</f>
        <v/>
      </c>
      <c r="K234" s="137" t="str">
        <f>IF(OpenPendingCases[[#This Row],[Timepiece Reference ]]="", "", IF(_xlfn.XLOOKUP(OpenPendingCases[[#This Row],[Timepiece Reference ]], Table1[[Timepiece Reference ]], Table1[CRC STOCK], "Not Found")="YES", "CRC Stock", "Boutique Stock"))</f>
        <v/>
      </c>
      <c r="L234" s="140"/>
      <c r="M234" s="141"/>
      <c r="N234" s="137"/>
      <c r="O234" s="134"/>
      <c r="P234" s="94" t="str">
        <f>IFERROR(VLOOKUP(TRIM(O234), Collection!$B$2:$D$1001, 2, FALSE), "")</f>
        <v/>
      </c>
      <c r="Q234" s="190" t="str">
        <f>IFERROR(VLOOKUP(TRIM(O234), Collection!$B$2:$D$1001, 3, FALSE), "")</f>
        <v/>
      </c>
      <c r="R234" s="153" t="str">
        <f t="shared" si="23"/>
        <v/>
      </c>
      <c r="S234" s="151"/>
      <c r="T234" s="158"/>
      <c r="U234" s="137"/>
      <c r="V234" s="137"/>
      <c r="W234" s="156" t="str">
        <f t="shared" si="27"/>
        <v/>
      </c>
      <c r="X234" s="157"/>
      <c r="Y234" s="158"/>
      <c r="Z234" s="158"/>
      <c r="AA234" s="137" t="str">
        <f t="shared" ca="1" si="28"/>
        <v/>
      </c>
      <c r="AB234" s="137" t="str">
        <f t="shared" ca="1" si="24"/>
        <v/>
      </c>
      <c r="AC234" s="160" t="str">
        <f t="shared" ca="1" si="25"/>
        <v/>
      </c>
      <c r="AD234" s="159" t="str">
        <f t="shared" ca="1" si="26"/>
        <v/>
      </c>
      <c r="AE234" s="161"/>
      <c r="AF234" s="161"/>
      <c r="AG234" s="161"/>
      <c r="AH234" s="137"/>
      <c r="AI234" s="164" t="str">
        <f t="shared" si="29"/>
        <v/>
      </c>
      <c r="AJ234" s="164" t="str">
        <f>IF(AND(OpenPendingCases[[#This Row],[Sale Status	]]="Open Sale",OpenPendingCases[[#This Row],[Potential Same Month]]="High"),TEXT(OpenPendingCases[[#This Row],[Request Entry Date]], "[$-en-us]mmmm"),"")</f>
        <v/>
      </c>
      <c r="AK234" s="165" t="str">
        <f>IFERROR(VALUE(SUBSTITUTE(OpenPendingCases[[#This Row],[Price]]," AED","")),"")</f>
        <v/>
      </c>
      <c r="AL234" s="165" t="str">
        <f>IFERROR(VALUE(LEFT(OpenPendingCases[[#This Row],[Price]],FIND(" ",OpenPendingCases[[#This Row],[Price]])-1)),"")</f>
        <v/>
      </c>
      <c r="AM234" s="165" t="str">
        <f>IFERROR(VALUE(_xlfn.TEXTBEFORE(OpenPendingCases[[#This Row],[Price]]," AED")),"")</f>
        <v/>
      </c>
      <c r="AN234" s="165"/>
    </row>
    <row r="235" spans="3:40" ht="18" hidden="1" x14ac:dyDescent="0.35">
      <c r="C235" s="134"/>
      <c r="D235" s="137" t="str">
        <f>IF($U235="Open Sale", IF(MAX($D$4:D234)+1=0, "", MAX($D$4:D234)+1), "")</f>
        <v/>
      </c>
      <c r="E235" s="137" t="str">
        <f>IF($U235="Pending Allocation", IF(MAX($E$4:E234)+1=0, "", MAX($E$4:E234)+1), "")</f>
        <v/>
      </c>
      <c r="F235" s="137"/>
      <c r="G235" s="137"/>
      <c r="H235" s="150"/>
      <c r="I235" s="150"/>
      <c r="J235" s="68" t="str">
        <f>IF(OpenPendingCases[[#This Row],[Timepiece Reference ]]="", "", IF(_xlfn.XLOOKUP(OpenPendingCases[[#This Row],[Timepiece Reference ]], Table1[[Timepiece Reference ]], Table1[CRC STOCK], "Not Found")="YES", "CRC Stock", "Boutique Stock"))</f>
        <v/>
      </c>
      <c r="K235" s="137" t="str">
        <f>IF(OpenPendingCases[[#This Row],[Timepiece Reference ]]="", "", IF(_xlfn.XLOOKUP(OpenPendingCases[[#This Row],[Timepiece Reference ]], Table1[[Timepiece Reference ]], Table1[CRC STOCK], "Not Found")="YES", "CRC Stock", "Boutique Stock"))</f>
        <v/>
      </c>
      <c r="L235" s="140"/>
      <c r="M235" s="141"/>
      <c r="N235" s="137"/>
      <c r="O235" s="134"/>
      <c r="P235" s="94" t="str">
        <f>IFERROR(VLOOKUP(TRIM(O235), Collection!$B$2:$D$1001, 2, FALSE), "")</f>
        <v/>
      </c>
      <c r="Q235" s="190" t="str">
        <f>IFERROR(VLOOKUP(TRIM(O235), Collection!$B$2:$D$1001, 3, FALSE), "")</f>
        <v/>
      </c>
      <c r="R235" s="153" t="str">
        <f t="shared" si="23"/>
        <v/>
      </c>
      <c r="S235" s="151"/>
      <c r="T235" s="158"/>
      <c r="U235" s="137"/>
      <c r="V235" s="137"/>
      <c r="W235" s="156" t="str">
        <f t="shared" si="27"/>
        <v/>
      </c>
      <c r="X235" s="157"/>
      <c r="Y235" s="158"/>
      <c r="Z235" s="158"/>
      <c r="AA235" s="137" t="str">
        <f t="shared" ca="1" si="28"/>
        <v/>
      </c>
      <c r="AB235" s="137" t="str">
        <f t="shared" ca="1" si="24"/>
        <v/>
      </c>
      <c r="AC235" s="160" t="str">
        <f t="shared" ca="1" si="25"/>
        <v/>
      </c>
      <c r="AD235" s="159" t="str">
        <f t="shared" ca="1" si="26"/>
        <v/>
      </c>
      <c r="AE235" s="161"/>
      <c r="AF235" s="161"/>
      <c r="AG235" s="161"/>
      <c r="AH235" s="137"/>
      <c r="AI235" s="164" t="str">
        <f t="shared" si="29"/>
        <v/>
      </c>
      <c r="AJ235" s="164" t="str">
        <f>IF(AND(OpenPendingCases[[#This Row],[Sale Status	]]="Open Sale",OpenPendingCases[[#This Row],[Potential Same Month]]="High"),TEXT(OpenPendingCases[[#This Row],[Request Entry Date]], "[$-en-us]mmmm"),"")</f>
        <v/>
      </c>
      <c r="AK235" s="165" t="str">
        <f>IFERROR(VALUE(SUBSTITUTE(OpenPendingCases[[#This Row],[Price]]," AED","")),"")</f>
        <v/>
      </c>
      <c r="AL235" s="165" t="str">
        <f>IFERROR(VALUE(LEFT(OpenPendingCases[[#This Row],[Price]],FIND(" ",OpenPendingCases[[#This Row],[Price]])-1)),"")</f>
        <v/>
      </c>
      <c r="AM235" s="165" t="str">
        <f>IFERROR(VALUE(_xlfn.TEXTBEFORE(OpenPendingCases[[#This Row],[Price]]," AED")),"")</f>
        <v/>
      </c>
      <c r="AN235" s="165"/>
    </row>
    <row r="236" spans="3:40" ht="18" hidden="1" x14ac:dyDescent="0.35">
      <c r="C236" s="134"/>
      <c r="D236" s="137" t="str">
        <f>IF($U236="Open Sale", IF(MAX($D$4:D235)+1=0, "", MAX($D$4:D235)+1), "")</f>
        <v/>
      </c>
      <c r="E236" s="137" t="str">
        <f>IF($U236="Pending Allocation", IF(MAX($E$4:E235)+1=0, "", MAX($E$4:E235)+1), "")</f>
        <v/>
      </c>
      <c r="F236" s="137"/>
      <c r="G236" s="137"/>
      <c r="H236" s="150"/>
      <c r="I236" s="150"/>
      <c r="J236" s="68" t="str">
        <f>IF(OpenPendingCases[[#This Row],[Timepiece Reference ]]="", "", IF(_xlfn.XLOOKUP(OpenPendingCases[[#This Row],[Timepiece Reference ]], Table1[[Timepiece Reference ]], Table1[CRC STOCK], "Not Found")="YES", "CRC Stock", "Boutique Stock"))</f>
        <v/>
      </c>
      <c r="K236" s="137" t="str">
        <f>IF(OpenPendingCases[[#This Row],[Timepiece Reference ]]="", "", IF(_xlfn.XLOOKUP(OpenPendingCases[[#This Row],[Timepiece Reference ]], Table1[[Timepiece Reference ]], Table1[CRC STOCK], "Not Found")="YES", "CRC Stock", "Boutique Stock"))</f>
        <v/>
      </c>
      <c r="L236" s="140"/>
      <c r="M236" s="141"/>
      <c r="N236" s="137"/>
      <c r="O236" s="134"/>
      <c r="P236" s="94" t="str">
        <f>IFERROR(VLOOKUP(TRIM(O236), Collection!$B$2:$D$1001, 2, FALSE), "")</f>
        <v/>
      </c>
      <c r="Q236" s="190" t="str">
        <f>IFERROR(VLOOKUP(TRIM(O236), Collection!$B$2:$D$1001, 3, FALSE), "")</f>
        <v/>
      </c>
      <c r="R236" s="153" t="str">
        <f t="shared" si="23"/>
        <v/>
      </c>
      <c r="S236" s="151"/>
      <c r="T236" s="158"/>
      <c r="U236" s="137"/>
      <c r="V236" s="137"/>
      <c r="W236" s="156" t="str">
        <f t="shared" si="27"/>
        <v/>
      </c>
      <c r="X236" s="157"/>
      <c r="Y236" s="158"/>
      <c r="Z236" s="158"/>
      <c r="AA236" s="137" t="str">
        <f t="shared" ca="1" si="28"/>
        <v/>
      </c>
      <c r="AB236" s="137" t="str">
        <f t="shared" ca="1" si="24"/>
        <v/>
      </c>
      <c r="AC236" s="160" t="str">
        <f t="shared" ca="1" si="25"/>
        <v/>
      </c>
      <c r="AD236" s="159" t="str">
        <f t="shared" ca="1" si="26"/>
        <v/>
      </c>
      <c r="AE236" s="161"/>
      <c r="AF236" s="161"/>
      <c r="AG236" s="161"/>
      <c r="AH236" s="137"/>
      <c r="AI236" s="164" t="str">
        <f t="shared" si="29"/>
        <v/>
      </c>
      <c r="AJ236" s="164" t="str">
        <f>IF(AND(OpenPendingCases[[#This Row],[Sale Status	]]="Open Sale",OpenPendingCases[[#This Row],[Potential Same Month]]="High"),TEXT(OpenPendingCases[[#This Row],[Request Entry Date]], "[$-en-us]mmmm"),"")</f>
        <v/>
      </c>
      <c r="AK236" s="165" t="str">
        <f>IFERROR(VALUE(SUBSTITUTE(OpenPendingCases[[#This Row],[Price]]," AED","")),"")</f>
        <v/>
      </c>
      <c r="AL236" s="165" t="str">
        <f>IFERROR(VALUE(LEFT(OpenPendingCases[[#This Row],[Price]],FIND(" ",OpenPendingCases[[#This Row],[Price]])-1)),"")</f>
        <v/>
      </c>
      <c r="AM236" s="165" t="str">
        <f>IFERROR(VALUE(_xlfn.TEXTBEFORE(OpenPendingCases[[#This Row],[Price]]," AED")),"")</f>
        <v/>
      </c>
      <c r="AN236" s="165"/>
    </row>
    <row r="237" spans="3:40" ht="18" hidden="1" x14ac:dyDescent="0.35">
      <c r="C237" s="134"/>
      <c r="D237" s="137" t="str">
        <f>IF($U237="Open Sale", IF(MAX($D$4:D236)+1=0, "", MAX($D$4:D236)+1), "")</f>
        <v/>
      </c>
      <c r="E237" s="137" t="str">
        <f>IF($U237="Pending Allocation", IF(MAX($E$4:E236)+1=0, "", MAX($E$4:E236)+1), "")</f>
        <v/>
      </c>
      <c r="F237" s="137"/>
      <c r="G237" s="137"/>
      <c r="H237" s="150"/>
      <c r="I237" s="150"/>
      <c r="J237" s="68" t="str">
        <f>IF(OpenPendingCases[[#This Row],[Timepiece Reference ]]="", "", IF(_xlfn.XLOOKUP(OpenPendingCases[[#This Row],[Timepiece Reference ]], Table1[[Timepiece Reference ]], Table1[CRC STOCK], "Not Found")="YES", "CRC Stock", "Boutique Stock"))</f>
        <v/>
      </c>
      <c r="K237" s="137" t="str">
        <f>IF(OpenPendingCases[[#This Row],[Timepiece Reference ]]="", "", IF(_xlfn.XLOOKUP(OpenPendingCases[[#This Row],[Timepiece Reference ]], Table1[[Timepiece Reference ]], Table1[CRC STOCK], "Not Found")="YES", "CRC Stock", "Boutique Stock"))</f>
        <v/>
      </c>
      <c r="L237" s="143"/>
      <c r="M237" s="141"/>
      <c r="N237" s="137"/>
      <c r="O237" s="134"/>
      <c r="P237" s="94" t="str">
        <f>IFERROR(VLOOKUP(TRIM(O237), Collection!$B$2:$D$1001, 2, FALSE), "")</f>
        <v/>
      </c>
      <c r="Q237" s="190" t="str">
        <f>IFERROR(VLOOKUP(TRIM(O237), Collection!$B$2:$D$1001, 3, FALSE), "")</f>
        <v/>
      </c>
      <c r="R237" s="153" t="str">
        <f t="shared" si="23"/>
        <v/>
      </c>
      <c r="S237" s="151"/>
      <c r="T237" s="158"/>
      <c r="U237" s="137"/>
      <c r="V237" s="137"/>
      <c r="W237" s="156" t="str">
        <f t="shared" si="27"/>
        <v/>
      </c>
      <c r="X237" s="157"/>
      <c r="Y237" s="158"/>
      <c r="Z237" s="158"/>
      <c r="AA237" s="137" t="str">
        <f t="shared" ca="1" si="28"/>
        <v/>
      </c>
      <c r="AB237" s="137" t="str">
        <f t="shared" ca="1" si="24"/>
        <v/>
      </c>
      <c r="AC237" s="160" t="str">
        <f t="shared" ca="1" si="25"/>
        <v/>
      </c>
      <c r="AD237" s="159" t="str">
        <f t="shared" ca="1" si="26"/>
        <v/>
      </c>
      <c r="AE237" s="161"/>
      <c r="AF237" s="161"/>
      <c r="AG237" s="161"/>
      <c r="AH237" s="137"/>
      <c r="AI237" s="164" t="str">
        <f t="shared" si="29"/>
        <v/>
      </c>
      <c r="AJ237" s="164" t="str">
        <f>IF(AND(OpenPendingCases[[#This Row],[Sale Status	]]="Open Sale",OpenPendingCases[[#This Row],[Potential Same Month]]="High"),TEXT(OpenPendingCases[[#This Row],[Request Entry Date]], "[$-en-us]mmmm"),"")</f>
        <v/>
      </c>
      <c r="AK237" s="165" t="str">
        <f>IFERROR(VALUE(SUBSTITUTE(OpenPendingCases[[#This Row],[Price]]," AED","")),"")</f>
        <v/>
      </c>
      <c r="AL237" s="165" t="str">
        <f>IFERROR(VALUE(LEFT(OpenPendingCases[[#This Row],[Price]],FIND(" ",OpenPendingCases[[#This Row],[Price]])-1)),"")</f>
        <v/>
      </c>
      <c r="AM237" s="165" t="str">
        <f>IFERROR(VALUE(_xlfn.TEXTBEFORE(OpenPendingCases[[#This Row],[Price]]," AED")),"")</f>
        <v/>
      </c>
      <c r="AN237" s="165"/>
    </row>
    <row r="238" spans="3:40" ht="18" hidden="1" x14ac:dyDescent="0.35">
      <c r="C238" s="134"/>
      <c r="D238" s="137" t="str">
        <f>IF($U238="Open Sale", IF(MAX($D$4:D237)+1=0, "", MAX($D$4:D237)+1), "")</f>
        <v/>
      </c>
      <c r="E238" s="137" t="str">
        <f>IF($U238="Pending Allocation", IF(MAX($E$4:E237)+1=0, "", MAX($E$4:E237)+1), "")</f>
        <v/>
      </c>
      <c r="F238" s="137"/>
      <c r="G238" s="137"/>
      <c r="H238" s="150"/>
      <c r="I238" s="150"/>
      <c r="J238" s="68" t="str">
        <f>IF(OpenPendingCases[[#This Row],[Timepiece Reference ]]="", "", IF(_xlfn.XLOOKUP(OpenPendingCases[[#This Row],[Timepiece Reference ]], Table1[[Timepiece Reference ]], Table1[CRC STOCK], "Not Found")="YES", "CRC Stock", "Boutique Stock"))</f>
        <v/>
      </c>
      <c r="K238" s="137" t="str">
        <f>IF(OpenPendingCases[[#This Row],[Timepiece Reference ]]="", "", IF(_xlfn.XLOOKUP(OpenPendingCases[[#This Row],[Timepiece Reference ]], Table1[[Timepiece Reference ]], Table1[CRC STOCK], "Not Found")="YES", "CRC Stock", "Boutique Stock"))</f>
        <v/>
      </c>
      <c r="L238" s="143"/>
      <c r="M238" s="141"/>
      <c r="N238" s="137"/>
      <c r="O238" s="134"/>
      <c r="P238" s="94" t="str">
        <f>IFERROR(VLOOKUP(TRIM(O238), Collection!$B$2:$D$1001, 2, FALSE), "")</f>
        <v/>
      </c>
      <c r="Q238" s="190" t="str">
        <f>IFERROR(VLOOKUP(TRIM(O238), Collection!$B$2:$D$1001, 3, FALSE), "")</f>
        <v/>
      </c>
      <c r="R238" s="153" t="str">
        <f t="shared" si="23"/>
        <v/>
      </c>
      <c r="S238" s="151"/>
      <c r="T238" s="158"/>
      <c r="U238" s="137"/>
      <c r="V238" s="137"/>
      <c r="W238" s="156" t="str">
        <f t="shared" si="27"/>
        <v/>
      </c>
      <c r="X238" s="157"/>
      <c r="Y238" s="158"/>
      <c r="Z238" s="158"/>
      <c r="AA238" s="137" t="str">
        <f t="shared" ca="1" si="28"/>
        <v/>
      </c>
      <c r="AB238" s="137" t="str">
        <f t="shared" ca="1" si="24"/>
        <v/>
      </c>
      <c r="AC238" s="160" t="str">
        <f t="shared" ca="1" si="25"/>
        <v/>
      </c>
      <c r="AD238" s="159" t="str">
        <f t="shared" ca="1" si="26"/>
        <v/>
      </c>
      <c r="AE238" s="161"/>
      <c r="AF238" s="161"/>
      <c r="AG238" s="161"/>
      <c r="AH238" s="137"/>
      <c r="AI238" s="164" t="str">
        <f t="shared" si="29"/>
        <v/>
      </c>
      <c r="AJ238" s="164" t="str">
        <f>IF(AND(OpenPendingCases[[#This Row],[Sale Status	]]="Open Sale",OpenPendingCases[[#This Row],[Potential Same Month]]="High"),TEXT(OpenPendingCases[[#This Row],[Request Entry Date]], "[$-en-us]mmmm"),"")</f>
        <v/>
      </c>
      <c r="AK238" s="165" t="str">
        <f>IFERROR(VALUE(SUBSTITUTE(OpenPendingCases[[#This Row],[Price]]," AED","")),"")</f>
        <v/>
      </c>
      <c r="AL238" s="165" t="str">
        <f>IFERROR(VALUE(LEFT(OpenPendingCases[[#This Row],[Price]],FIND(" ",OpenPendingCases[[#This Row],[Price]])-1)),"")</f>
        <v/>
      </c>
      <c r="AM238" s="165" t="str">
        <f>IFERROR(VALUE(_xlfn.TEXTBEFORE(OpenPendingCases[[#This Row],[Price]]," AED")),"")</f>
        <v/>
      </c>
      <c r="AN238" s="165"/>
    </row>
    <row r="239" spans="3:40" ht="18" hidden="1" x14ac:dyDescent="0.35">
      <c r="C239" s="134"/>
      <c r="D239" s="137" t="str">
        <f>IF($U239="Open Sale", IF(MAX($D$4:D238)+1=0, "", MAX($D$4:D238)+1), "")</f>
        <v/>
      </c>
      <c r="E239" s="137" t="str">
        <f>IF($U239="Pending Allocation", IF(MAX($E$4:E238)+1=0, "", MAX($E$4:E238)+1), "")</f>
        <v/>
      </c>
      <c r="F239" s="137"/>
      <c r="G239" s="137"/>
      <c r="H239" s="150"/>
      <c r="I239" s="150"/>
      <c r="J239" s="68" t="str">
        <f>IF(OpenPendingCases[[#This Row],[Timepiece Reference ]]="", "", IF(_xlfn.XLOOKUP(OpenPendingCases[[#This Row],[Timepiece Reference ]], Table1[[Timepiece Reference ]], Table1[CRC STOCK], "Not Found")="YES", "CRC Stock", "Boutique Stock"))</f>
        <v/>
      </c>
      <c r="K239" s="137" t="str">
        <f>IF(OpenPendingCases[[#This Row],[Timepiece Reference ]]="", "", IF(_xlfn.XLOOKUP(OpenPendingCases[[#This Row],[Timepiece Reference ]], Table1[[Timepiece Reference ]], Table1[CRC STOCK], "Not Found")="YES", "CRC Stock", "Boutique Stock"))</f>
        <v/>
      </c>
      <c r="L239" s="143"/>
      <c r="M239" s="141"/>
      <c r="N239" s="137"/>
      <c r="O239" s="134"/>
      <c r="P239" s="94" t="str">
        <f>IFERROR(VLOOKUP(TRIM(O239), Collection!$B$2:$D$1001, 2, FALSE), "")</f>
        <v/>
      </c>
      <c r="Q239" s="190" t="str">
        <f>IFERROR(VLOOKUP(TRIM(O239), Collection!$B$2:$D$1001, 3, FALSE), "")</f>
        <v/>
      </c>
      <c r="R239" s="153" t="str">
        <f t="shared" si="23"/>
        <v/>
      </c>
      <c r="S239" s="151"/>
      <c r="T239" s="158"/>
      <c r="U239" s="137"/>
      <c r="V239" s="137"/>
      <c r="W239" s="156" t="str">
        <f t="shared" si="27"/>
        <v/>
      </c>
      <c r="X239" s="157"/>
      <c r="Y239" s="158"/>
      <c r="Z239" s="158"/>
      <c r="AA239" s="137" t="str">
        <f t="shared" ca="1" si="28"/>
        <v/>
      </c>
      <c r="AB239" s="137" t="str">
        <f t="shared" ca="1" si="24"/>
        <v/>
      </c>
      <c r="AC239" s="160" t="str">
        <f t="shared" ca="1" si="25"/>
        <v/>
      </c>
      <c r="AD239" s="159" t="str">
        <f t="shared" ca="1" si="26"/>
        <v/>
      </c>
      <c r="AE239" s="161"/>
      <c r="AF239" s="161"/>
      <c r="AG239" s="161"/>
      <c r="AH239" s="137"/>
      <c r="AI239" s="164" t="str">
        <f t="shared" si="29"/>
        <v/>
      </c>
      <c r="AJ239" s="164" t="str">
        <f>IF(AND(OpenPendingCases[[#This Row],[Sale Status	]]="Open Sale",OpenPendingCases[[#This Row],[Potential Same Month]]="High"),TEXT(OpenPendingCases[[#This Row],[Request Entry Date]], "[$-en-us]mmmm"),"")</f>
        <v/>
      </c>
      <c r="AK239" s="165" t="str">
        <f>IFERROR(VALUE(SUBSTITUTE(OpenPendingCases[[#This Row],[Price]]," AED","")),"")</f>
        <v/>
      </c>
      <c r="AL239" s="165" t="str">
        <f>IFERROR(VALUE(LEFT(OpenPendingCases[[#This Row],[Price]],FIND(" ",OpenPendingCases[[#This Row],[Price]])-1)),"")</f>
        <v/>
      </c>
      <c r="AM239" s="165" t="str">
        <f>IFERROR(VALUE(_xlfn.TEXTBEFORE(OpenPendingCases[[#This Row],[Price]]," AED")),"")</f>
        <v/>
      </c>
      <c r="AN239" s="165"/>
    </row>
    <row r="240" spans="3:40" ht="18" hidden="1" x14ac:dyDescent="0.35">
      <c r="C240" s="134"/>
      <c r="D240" s="137" t="str">
        <f>IF($U240="Open Sale", IF(MAX($D$4:D239)+1=0, "", MAX($D$4:D239)+1), "")</f>
        <v/>
      </c>
      <c r="E240" s="137" t="str">
        <f>IF($U240="Pending Allocation", IF(MAX($E$4:E239)+1=0, "", MAX($E$4:E239)+1), "")</f>
        <v/>
      </c>
      <c r="F240" s="137"/>
      <c r="G240" s="137"/>
      <c r="H240" s="150"/>
      <c r="I240" s="150"/>
      <c r="J240" s="68" t="str">
        <f>IF(OpenPendingCases[[#This Row],[Timepiece Reference ]]="", "", IF(_xlfn.XLOOKUP(OpenPendingCases[[#This Row],[Timepiece Reference ]], Table1[[Timepiece Reference ]], Table1[CRC STOCK], "Not Found")="YES", "CRC Stock", "Boutique Stock"))</f>
        <v/>
      </c>
      <c r="K240" s="137" t="str">
        <f>IF(OpenPendingCases[[#This Row],[Timepiece Reference ]]="", "", IF(_xlfn.XLOOKUP(OpenPendingCases[[#This Row],[Timepiece Reference ]], Table1[[Timepiece Reference ]], Table1[CRC STOCK], "Not Found")="YES", "CRC Stock", "Boutique Stock"))</f>
        <v/>
      </c>
      <c r="L240" s="143"/>
      <c r="M240" s="141"/>
      <c r="N240" s="137"/>
      <c r="O240" s="134"/>
      <c r="P240" s="94" t="str">
        <f>IFERROR(VLOOKUP(TRIM(O240), Collection!$B$2:$D$1001, 2, FALSE), "")</f>
        <v/>
      </c>
      <c r="Q240" s="190" t="str">
        <f>IFERROR(VLOOKUP(TRIM(O240), Collection!$B$2:$D$1001, 3, FALSE), "")</f>
        <v/>
      </c>
      <c r="R240" s="153" t="str">
        <f t="shared" si="23"/>
        <v/>
      </c>
      <c r="S240" s="151"/>
      <c r="T240" s="158"/>
      <c r="U240" s="137"/>
      <c r="V240" s="137"/>
      <c r="W240" s="156" t="str">
        <f t="shared" si="27"/>
        <v/>
      </c>
      <c r="X240" s="157"/>
      <c r="Y240" s="158"/>
      <c r="Z240" s="158"/>
      <c r="AA240" s="137" t="str">
        <f t="shared" ca="1" si="28"/>
        <v/>
      </c>
      <c r="AB240" s="137" t="str">
        <f t="shared" ca="1" si="24"/>
        <v/>
      </c>
      <c r="AC240" s="160" t="str">
        <f t="shared" ca="1" si="25"/>
        <v/>
      </c>
      <c r="AD240" s="159" t="str">
        <f t="shared" ca="1" si="26"/>
        <v/>
      </c>
      <c r="AE240" s="161"/>
      <c r="AF240" s="161"/>
      <c r="AG240" s="161"/>
      <c r="AH240" s="137"/>
      <c r="AI240" s="164" t="str">
        <f t="shared" si="29"/>
        <v/>
      </c>
      <c r="AJ240" s="164" t="str">
        <f>IF(AND(OpenPendingCases[[#This Row],[Sale Status	]]="Open Sale",OpenPendingCases[[#This Row],[Potential Same Month]]="High"),TEXT(OpenPendingCases[[#This Row],[Request Entry Date]], "[$-en-us]mmmm"),"")</f>
        <v/>
      </c>
      <c r="AK240" s="165" t="str">
        <f>IFERROR(VALUE(SUBSTITUTE(OpenPendingCases[[#This Row],[Price]]," AED","")),"")</f>
        <v/>
      </c>
      <c r="AL240" s="165" t="str">
        <f>IFERROR(VALUE(LEFT(OpenPendingCases[[#This Row],[Price]],FIND(" ",OpenPendingCases[[#This Row],[Price]])-1)),"")</f>
        <v/>
      </c>
      <c r="AM240" s="165" t="str">
        <f>IFERROR(VALUE(_xlfn.TEXTBEFORE(OpenPendingCases[[#This Row],[Price]]," AED")),"")</f>
        <v/>
      </c>
      <c r="AN240" s="165"/>
    </row>
    <row r="241" spans="3:40" ht="18" hidden="1" x14ac:dyDescent="0.35">
      <c r="C241" s="134"/>
      <c r="D241" s="137" t="str">
        <f>IF($U241="Open Sale", IF(MAX($D$4:D240)+1=0, "", MAX($D$4:D240)+1), "")</f>
        <v/>
      </c>
      <c r="E241" s="137" t="str">
        <f>IF($U241="Pending Allocation", IF(MAX($E$4:E240)+1=0, "", MAX($E$4:E240)+1), "")</f>
        <v/>
      </c>
      <c r="F241" s="137"/>
      <c r="G241" s="137"/>
      <c r="H241" s="150"/>
      <c r="I241" s="150"/>
      <c r="J241" s="68" t="str">
        <f>IF(OpenPendingCases[[#This Row],[Timepiece Reference ]]="", "", IF(_xlfn.XLOOKUP(OpenPendingCases[[#This Row],[Timepiece Reference ]], Table1[[Timepiece Reference ]], Table1[CRC STOCK], "Not Found")="YES", "CRC Stock", "Boutique Stock"))</f>
        <v/>
      </c>
      <c r="K241" s="137" t="str">
        <f>IF(OpenPendingCases[[#This Row],[Timepiece Reference ]]="", "", IF(_xlfn.XLOOKUP(OpenPendingCases[[#This Row],[Timepiece Reference ]], Table1[[Timepiece Reference ]], Table1[CRC STOCK], "Not Found")="YES", "CRC Stock", "Boutique Stock"))</f>
        <v/>
      </c>
      <c r="L241" s="143"/>
      <c r="M241" s="141"/>
      <c r="N241" s="137"/>
      <c r="O241" s="134"/>
      <c r="P241" s="94" t="str">
        <f>IFERROR(VLOOKUP(TRIM(O241), Collection!$B$2:$D$1001, 2, FALSE), "")</f>
        <v/>
      </c>
      <c r="Q241" s="190" t="str">
        <f>IFERROR(VLOOKUP(TRIM(O241), Collection!$B$2:$D$1001, 3, FALSE), "")</f>
        <v/>
      </c>
      <c r="R241" s="153" t="str">
        <f t="shared" si="23"/>
        <v/>
      </c>
      <c r="S241" s="151"/>
      <c r="T241" s="158"/>
      <c r="U241" s="137"/>
      <c r="V241" s="137"/>
      <c r="W241" s="156" t="str">
        <f t="shared" si="27"/>
        <v/>
      </c>
      <c r="X241" s="157"/>
      <c r="Y241" s="158"/>
      <c r="Z241" s="158"/>
      <c r="AA241" s="137" t="str">
        <f t="shared" ca="1" si="28"/>
        <v/>
      </c>
      <c r="AB241" s="137" t="str">
        <f t="shared" ca="1" si="24"/>
        <v/>
      </c>
      <c r="AC241" s="160" t="str">
        <f t="shared" ca="1" si="25"/>
        <v/>
      </c>
      <c r="AD241" s="159" t="str">
        <f t="shared" ca="1" si="26"/>
        <v/>
      </c>
      <c r="AE241" s="161"/>
      <c r="AF241" s="161"/>
      <c r="AG241" s="161"/>
      <c r="AH241" s="137"/>
      <c r="AI241" s="164" t="str">
        <f t="shared" si="29"/>
        <v/>
      </c>
      <c r="AJ241" s="164" t="str">
        <f>IF(AND(OpenPendingCases[[#This Row],[Sale Status	]]="Open Sale",OpenPendingCases[[#This Row],[Potential Same Month]]="High"),TEXT(OpenPendingCases[[#This Row],[Request Entry Date]], "[$-en-us]mmmm"),"")</f>
        <v/>
      </c>
      <c r="AK241" s="165" t="str">
        <f>IFERROR(VALUE(SUBSTITUTE(OpenPendingCases[[#This Row],[Price]]," AED","")),"")</f>
        <v/>
      </c>
      <c r="AL241" s="165" t="str">
        <f>IFERROR(VALUE(LEFT(OpenPendingCases[[#This Row],[Price]],FIND(" ",OpenPendingCases[[#This Row],[Price]])-1)),"")</f>
        <v/>
      </c>
      <c r="AM241" s="165" t="str">
        <f>IFERROR(VALUE(_xlfn.TEXTBEFORE(OpenPendingCases[[#This Row],[Price]]," AED")),"")</f>
        <v/>
      </c>
      <c r="AN241" s="165"/>
    </row>
    <row r="242" spans="3:40" ht="18" hidden="1" x14ac:dyDescent="0.35">
      <c r="C242" s="134"/>
      <c r="D242" s="137" t="str">
        <f>IF($U242="Open Sale", IF(MAX($D$4:D241)+1=0, "", MAX($D$4:D241)+1), "")</f>
        <v/>
      </c>
      <c r="E242" s="137" t="str">
        <f>IF($U242="Pending Allocation", IF(MAX($E$4:E241)+1=0, "", MAX($E$4:E241)+1), "")</f>
        <v/>
      </c>
      <c r="F242" s="137"/>
      <c r="G242" s="137"/>
      <c r="H242" s="150"/>
      <c r="I242" s="150"/>
      <c r="J242" s="68" t="str">
        <f>IF(OpenPendingCases[[#This Row],[Timepiece Reference ]]="", "", IF(_xlfn.XLOOKUP(OpenPendingCases[[#This Row],[Timepiece Reference ]], Table1[[Timepiece Reference ]], Table1[CRC STOCK], "Not Found")="YES", "CRC Stock", "Boutique Stock"))</f>
        <v/>
      </c>
      <c r="K242" s="137" t="str">
        <f>IF(OpenPendingCases[[#This Row],[Timepiece Reference ]]="", "", IF(_xlfn.XLOOKUP(OpenPendingCases[[#This Row],[Timepiece Reference ]], Table1[[Timepiece Reference ]], Table1[CRC STOCK], "Not Found")="YES", "CRC Stock", "Boutique Stock"))</f>
        <v/>
      </c>
      <c r="L242" s="143"/>
      <c r="M242" s="141"/>
      <c r="N242" s="137"/>
      <c r="O242" s="134"/>
      <c r="P242" s="94" t="str">
        <f>IFERROR(VLOOKUP(TRIM(O242), Collection!$B$2:$D$1001, 2, FALSE), "")</f>
        <v/>
      </c>
      <c r="Q242" s="190" t="str">
        <f>IFERROR(VLOOKUP(TRIM(O242), Collection!$B$2:$D$1001, 3, FALSE), "")</f>
        <v/>
      </c>
      <c r="R242" s="153" t="str">
        <f t="shared" si="23"/>
        <v/>
      </c>
      <c r="S242" s="151"/>
      <c r="T242" s="158"/>
      <c r="U242" s="137"/>
      <c r="V242" s="137"/>
      <c r="W242" s="156" t="str">
        <f t="shared" si="27"/>
        <v/>
      </c>
      <c r="X242" s="157"/>
      <c r="Y242" s="158"/>
      <c r="Z242" s="158"/>
      <c r="AA242" s="137" t="str">
        <f t="shared" ca="1" si="28"/>
        <v/>
      </c>
      <c r="AB242" s="137" t="str">
        <f t="shared" ca="1" si="24"/>
        <v/>
      </c>
      <c r="AC242" s="160" t="str">
        <f t="shared" ca="1" si="25"/>
        <v/>
      </c>
      <c r="AD242" s="159" t="str">
        <f t="shared" ca="1" si="26"/>
        <v/>
      </c>
      <c r="AE242" s="161"/>
      <c r="AF242" s="161"/>
      <c r="AG242" s="161"/>
      <c r="AH242" s="137"/>
      <c r="AI242" s="164" t="str">
        <f t="shared" si="29"/>
        <v/>
      </c>
      <c r="AJ242" s="164" t="str">
        <f>IF(AND(OpenPendingCases[[#This Row],[Sale Status	]]="Open Sale",OpenPendingCases[[#This Row],[Potential Same Month]]="High"),TEXT(OpenPendingCases[[#This Row],[Request Entry Date]], "[$-en-us]mmmm"),"")</f>
        <v/>
      </c>
      <c r="AK242" s="165" t="str">
        <f>IFERROR(VALUE(SUBSTITUTE(OpenPendingCases[[#This Row],[Price]]," AED","")),"")</f>
        <v/>
      </c>
      <c r="AL242" s="165" t="str">
        <f>IFERROR(VALUE(LEFT(OpenPendingCases[[#This Row],[Price]],FIND(" ",OpenPendingCases[[#This Row],[Price]])-1)),"")</f>
        <v/>
      </c>
      <c r="AM242" s="165" t="str">
        <f>IFERROR(VALUE(_xlfn.TEXTBEFORE(OpenPendingCases[[#This Row],[Price]]," AED")),"")</f>
        <v/>
      </c>
      <c r="AN242" s="165"/>
    </row>
    <row r="243" spans="3:40" ht="18" hidden="1" x14ac:dyDescent="0.35">
      <c r="C243" s="134"/>
      <c r="D243" s="137" t="str">
        <f>IF($U243="Open Sale", IF(MAX($D$4:D242)+1=0, "", MAX($D$4:D242)+1), "")</f>
        <v/>
      </c>
      <c r="E243" s="137" t="str">
        <f>IF($U243="Pending Allocation", IF(MAX($E$4:E242)+1=0, "", MAX($E$4:E242)+1), "")</f>
        <v/>
      </c>
      <c r="F243" s="137"/>
      <c r="G243" s="137"/>
      <c r="H243" s="150"/>
      <c r="I243" s="150"/>
      <c r="J243" s="68" t="str">
        <f>IF(OpenPendingCases[[#This Row],[Timepiece Reference ]]="", "", IF(_xlfn.XLOOKUP(OpenPendingCases[[#This Row],[Timepiece Reference ]], Table1[[Timepiece Reference ]], Table1[CRC STOCK], "Not Found")="YES", "CRC Stock", "Boutique Stock"))</f>
        <v/>
      </c>
      <c r="K243" s="137" t="str">
        <f>IF(OpenPendingCases[[#This Row],[Timepiece Reference ]]="", "", IF(_xlfn.XLOOKUP(OpenPendingCases[[#This Row],[Timepiece Reference ]], Table1[[Timepiece Reference ]], Table1[CRC STOCK], "Not Found")="YES", "CRC Stock", "Boutique Stock"))</f>
        <v/>
      </c>
      <c r="L243" s="143"/>
      <c r="M243" s="141"/>
      <c r="N243" s="137"/>
      <c r="O243" s="134"/>
      <c r="P243" s="94" t="str">
        <f>IFERROR(VLOOKUP(TRIM(O243), Collection!$B$2:$D$1001, 2, FALSE), "")</f>
        <v/>
      </c>
      <c r="Q243" s="190" t="str">
        <f>IFERROR(VLOOKUP(TRIM(O243), Collection!$B$2:$D$1001, 3, FALSE), "")</f>
        <v/>
      </c>
      <c r="R243" s="153" t="str">
        <f t="shared" si="23"/>
        <v/>
      </c>
      <c r="S243" s="151"/>
      <c r="T243" s="158"/>
      <c r="U243" s="137"/>
      <c r="V243" s="137"/>
      <c r="W243" s="156" t="str">
        <f t="shared" si="27"/>
        <v/>
      </c>
      <c r="X243" s="157"/>
      <c r="Y243" s="158"/>
      <c r="Z243" s="158"/>
      <c r="AA243" s="137" t="str">
        <f t="shared" ca="1" si="28"/>
        <v/>
      </c>
      <c r="AB243" s="137" t="str">
        <f t="shared" ca="1" si="24"/>
        <v/>
      </c>
      <c r="AC243" s="160" t="str">
        <f t="shared" ca="1" si="25"/>
        <v/>
      </c>
      <c r="AD243" s="159" t="str">
        <f t="shared" ca="1" si="26"/>
        <v/>
      </c>
      <c r="AE243" s="161"/>
      <c r="AF243" s="161"/>
      <c r="AG243" s="161"/>
      <c r="AH243" s="137"/>
      <c r="AI243" s="164" t="str">
        <f t="shared" si="29"/>
        <v/>
      </c>
      <c r="AJ243" s="164" t="str">
        <f>IF(AND(OpenPendingCases[[#This Row],[Sale Status	]]="Open Sale",OpenPendingCases[[#This Row],[Potential Same Month]]="High"),TEXT(OpenPendingCases[[#This Row],[Request Entry Date]], "[$-en-us]mmmm"),"")</f>
        <v/>
      </c>
      <c r="AK243" s="165" t="str">
        <f>IFERROR(VALUE(SUBSTITUTE(OpenPendingCases[[#This Row],[Price]]," AED","")),"")</f>
        <v/>
      </c>
      <c r="AL243" s="165" t="str">
        <f>IFERROR(VALUE(LEFT(OpenPendingCases[[#This Row],[Price]],FIND(" ",OpenPendingCases[[#This Row],[Price]])-1)),"")</f>
        <v/>
      </c>
      <c r="AM243" s="165" t="str">
        <f>IFERROR(VALUE(_xlfn.TEXTBEFORE(OpenPendingCases[[#This Row],[Price]]," AED")),"")</f>
        <v/>
      </c>
      <c r="AN243" s="165"/>
    </row>
    <row r="244" spans="3:40" ht="18" hidden="1" x14ac:dyDescent="0.35">
      <c r="C244" s="134"/>
      <c r="D244" s="137" t="str">
        <f>IF($U244="Open Sale", IF(MAX($D$4:D243)+1=0, "", MAX($D$4:D243)+1), "")</f>
        <v/>
      </c>
      <c r="E244" s="137" t="str">
        <f>IF($U244="Pending Allocation", IF(MAX($E$4:E243)+1=0, "", MAX($E$4:E243)+1), "")</f>
        <v/>
      </c>
      <c r="F244" s="137"/>
      <c r="G244" s="137"/>
      <c r="H244" s="150"/>
      <c r="I244" s="150"/>
      <c r="J244" s="68" t="str">
        <f>IF(OpenPendingCases[[#This Row],[Timepiece Reference ]]="", "", IF(_xlfn.XLOOKUP(OpenPendingCases[[#This Row],[Timepiece Reference ]], Table1[[Timepiece Reference ]], Table1[CRC STOCK], "Not Found")="YES", "CRC Stock", "Boutique Stock"))</f>
        <v/>
      </c>
      <c r="K244" s="137" t="str">
        <f>IF(OpenPendingCases[[#This Row],[Timepiece Reference ]]="", "", IF(_xlfn.XLOOKUP(OpenPendingCases[[#This Row],[Timepiece Reference ]], Table1[[Timepiece Reference ]], Table1[CRC STOCK], "Not Found")="YES", "CRC Stock", "Boutique Stock"))</f>
        <v/>
      </c>
      <c r="L244" s="143"/>
      <c r="M244" s="141"/>
      <c r="N244" s="137"/>
      <c r="O244" s="134"/>
      <c r="P244" s="94" t="str">
        <f>IFERROR(VLOOKUP(TRIM(O244), Collection!$B$2:$D$1001, 2, FALSE), "")</f>
        <v/>
      </c>
      <c r="Q244" s="190" t="str">
        <f>IFERROR(VLOOKUP(TRIM(O244), Collection!$B$2:$D$1001, 3, FALSE), "")</f>
        <v/>
      </c>
      <c r="R244" s="153" t="str">
        <f t="shared" si="23"/>
        <v/>
      </c>
      <c r="S244" s="151"/>
      <c r="T244" s="158"/>
      <c r="U244" s="137"/>
      <c r="V244" s="137"/>
      <c r="W244" s="156" t="str">
        <f t="shared" si="27"/>
        <v/>
      </c>
      <c r="X244" s="157"/>
      <c r="Y244" s="158"/>
      <c r="Z244" s="158"/>
      <c r="AA244" s="137" t="str">
        <f t="shared" ca="1" si="28"/>
        <v/>
      </c>
      <c r="AB244" s="137" t="str">
        <f t="shared" ca="1" si="24"/>
        <v/>
      </c>
      <c r="AC244" s="160" t="str">
        <f t="shared" ca="1" si="25"/>
        <v/>
      </c>
      <c r="AD244" s="159" t="str">
        <f t="shared" ca="1" si="26"/>
        <v/>
      </c>
      <c r="AE244" s="161"/>
      <c r="AF244" s="161"/>
      <c r="AG244" s="161"/>
      <c r="AH244" s="137"/>
      <c r="AI244" s="164" t="str">
        <f t="shared" si="29"/>
        <v/>
      </c>
      <c r="AJ244" s="164" t="str">
        <f>IF(AND(OpenPendingCases[[#This Row],[Sale Status	]]="Open Sale",OpenPendingCases[[#This Row],[Potential Same Month]]="High"),TEXT(OpenPendingCases[[#This Row],[Request Entry Date]], "[$-en-us]mmmm"),"")</f>
        <v/>
      </c>
      <c r="AK244" s="165" t="str">
        <f>IFERROR(VALUE(SUBSTITUTE(OpenPendingCases[[#This Row],[Price]]," AED","")),"")</f>
        <v/>
      </c>
      <c r="AL244" s="165" t="str">
        <f>IFERROR(VALUE(LEFT(OpenPendingCases[[#This Row],[Price]],FIND(" ",OpenPendingCases[[#This Row],[Price]])-1)),"")</f>
        <v/>
      </c>
      <c r="AM244" s="165" t="str">
        <f>IFERROR(VALUE(_xlfn.TEXTBEFORE(OpenPendingCases[[#This Row],[Price]]," AED")),"")</f>
        <v/>
      </c>
      <c r="AN244" s="165"/>
    </row>
    <row r="245" spans="3:40" ht="18" hidden="1" x14ac:dyDescent="0.35">
      <c r="C245" s="134"/>
      <c r="D245" s="137" t="str">
        <f>IF($U245="Open Sale", IF(MAX($D$4:D244)+1=0, "", MAX($D$4:D244)+1), "")</f>
        <v/>
      </c>
      <c r="E245" s="137" t="str">
        <f>IF($U245="Pending Allocation", IF(MAX($E$4:E244)+1=0, "", MAX($E$4:E244)+1), "")</f>
        <v/>
      </c>
      <c r="F245" s="137"/>
      <c r="G245" s="137"/>
      <c r="H245" s="150"/>
      <c r="I245" s="150"/>
      <c r="J245" s="68" t="str">
        <f>IF(OpenPendingCases[[#This Row],[Timepiece Reference ]]="", "", IF(_xlfn.XLOOKUP(OpenPendingCases[[#This Row],[Timepiece Reference ]], Table1[[Timepiece Reference ]], Table1[CRC STOCK], "Not Found")="YES", "CRC Stock", "Boutique Stock"))</f>
        <v/>
      </c>
      <c r="K245" s="137" t="str">
        <f>IF(OpenPendingCases[[#This Row],[Timepiece Reference ]]="", "", IF(_xlfn.XLOOKUP(OpenPendingCases[[#This Row],[Timepiece Reference ]], Table1[[Timepiece Reference ]], Table1[CRC STOCK], "Not Found")="YES", "CRC Stock", "Boutique Stock"))</f>
        <v/>
      </c>
      <c r="L245" s="143"/>
      <c r="M245" s="141"/>
      <c r="N245" s="137"/>
      <c r="O245" s="134"/>
      <c r="P245" s="94" t="str">
        <f>IFERROR(VLOOKUP(TRIM(O245), Collection!$B$2:$D$1001, 2, FALSE), "")</f>
        <v/>
      </c>
      <c r="Q245" s="190" t="str">
        <f>IFERROR(VLOOKUP(TRIM(O245), Collection!$B$2:$D$1001, 3, FALSE), "")</f>
        <v/>
      </c>
      <c r="R245" s="153" t="str">
        <f t="shared" si="23"/>
        <v/>
      </c>
      <c r="S245" s="151"/>
      <c r="T245" s="158"/>
      <c r="U245" s="137"/>
      <c r="V245" s="137"/>
      <c r="W245" s="156" t="str">
        <f t="shared" si="27"/>
        <v/>
      </c>
      <c r="X245" s="157"/>
      <c r="Y245" s="158"/>
      <c r="Z245" s="158"/>
      <c r="AA245" s="137" t="str">
        <f t="shared" ca="1" si="28"/>
        <v/>
      </c>
      <c r="AB245" s="137" t="str">
        <f t="shared" ca="1" si="24"/>
        <v/>
      </c>
      <c r="AC245" s="160" t="str">
        <f t="shared" ca="1" si="25"/>
        <v/>
      </c>
      <c r="AD245" s="159" t="str">
        <f t="shared" ca="1" si="26"/>
        <v/>
      </c>
      <c r="AE245" s="161"/>
      <c r="AF245" s="161"/>
      <c r="AG245" s="161"/>
      <c r="AH245" s="137"/>
      <c r="AI245" s="164" t="str">
        <f t="shared" si="29"/>
        <v/>
      </c>
      <c r="AJ245" s="164" t="str">
        <f>IF(AND(OpenPendingCases[[#This Row],[Sale Status	]]="Open Sale",OpenPendingCases[[#This Row],[Potential Same Month]]="High"),TEXT(OpenPendingCases[[#This Row],[Request Entry Date]], "[$-en-us]mmmm"),"")</f>
        <v/>
      </c>
      <c r="AK245" s="165" t="str">
        <f>IFERROR(VALUE(SUBSTITUTE(OpenPendingCases[[#This Row],[Price]]," AED","")),"")</f>
        <v/>
      </c>
      <c r="AL245" s="165" t="str">
        <f>IFERROR(VALUE(LEFT(OpenPendingCases[[#This Row],[Price]],FIND(" ",OpenPendingCases[[#This Row],[Price]])-1)),"")</f>
        <v/>
      </c>
      <c r="AM245" s="165" t="str">
        <f>IFERROR(VALUE(_xlfn.TEXTBEFORE(OpenPendingCases[[#This Row],[Price]]," AED")),"")</f>
        <v/>
      </c>
      <c r="AN245" s="165"/>
    </row>
    <row r="246" spans="3:40" ht="18" hidden="1" x14ac:dyDescent="0.35">
      <c r="C246" s="134"/>
      <c r="D246" s="137" t="str">
        <f>IF($U246="Open Sale", IF(MAX($D$4:D245)+1=0, "", MAX($D$4:D245)+1), "")</f>
        <v/>
      </c>
      <c r="E246" s="137" t="str">
        <f>IF($U246="Pending Allocation", IF(MAX($E$4:E245)+1=0, "", MAX($E$4:E245)+1), "")</f>
        <v/>
      </c>
      <c r="F246" s="137"/>
      <c r="G246" s="137"/>
      <c r="H246" s="150"/>
      <c r="I246" s="150"/>
      <c r="J246" s="68" t="str">
        <f>IF(OpenPendingCases[[#This Row],[Timepiece Reference ]]="", "", IF(_xlfn.XLOOKUP(OpenPendingCases[[#This Row],[Timepiece Reference ]], Table1[[Timepiece Reference ]], Table1[CRC STOCK], "Not Found")="YES", "CRC Stock", "Boutique Stock"))</f>
        <v/>
      </c>
      <c r="K246" s="137" t="str">
        <f>IF(OpenPendingCases[[#This Row],[Timepiece Reference ]]="", "", IF(_xlfn.XLOOKUP(OpenPendingCases[[#This Row],[Timepiece Reference ]], Table1[[Timepiece Reference ]], Table1[CRC STOCK], "Not Found")="YES", "CRC Stock", "Boutique Stock"))</f>
        <v/>
      </c>
      <c r="L246" s="143"/>
      <c r="M246" s="141"/>
      <c r="N246" s="137"/>
      <c r="O246" s="134"/>
      <c r="P246" s="94" t="str">
        <f>IFERROR(VLOOKUP(TRIM(O246), Collection!$B$2:$D$1001, 2, FALSE), "")</f>
        <v/>
      </c>
      <c r="Q246" s="190" t="str">
        <f>IFERROR(VLOOKUP(TRIM(O246), Collection!$B$2:$D$1001, 3, FALSE), "")</f>
        <v/>
      </c>
      <c r="R246" s="153" t="str">
        <f t="shared" si="23"/>
        <v/>
      </c>
      <c r="S246" s="151"/>
      <c r="T246" s="158"/>
      <c r="U246" s="137"/>
      <c r="V246" s="137"/>
      <c r="W246" s="156" t="str">
        <f t="shared" si="27"/>
        <v/>
      </c>
      <c r="X246" s="157"/>
      <c r="Y246" s="158"/>
      <c r="Z246" s="158"/>
      <c r="AA246" s="137" t="str">
        <f t="shared" ca="1" si="28"/>
        <v/>
      </c>
      <c r="AB246" s="137" t="str">
        <f t="shared" ca="1" si="24"/>
        <v/>
      </c>
      <c r="AC246" s="160" t="str">
        <f t="shared" ca="1" si="25"/>
        <v/>
      </c>
      <c r="AD246" s="159" t="str">
        <f t="shared" ca="1" si="26"/>
        <v/>
      </c>
      <c r="AE246" s="161"/>
      <c r="AF246" s="161"/>
      <c r="AG246" s="161"/>
      <c r="AH246" s="137"/>
      <c r="AI246" s="164" t="str">
        <f t="shared" si="29"/>
        <v/>
      </c>
      <c r="AJ246" s="164" t="str">
        <f>IF(AND(OpenPendingCases[[#This Row],[Sale Status	]]="Open Sale",OpenPendingCases[[#This Row],[Potential Same Month]]="High"),TEXT(OpenPendingCases[[#This Row],[Request Entry Date]], "[$-en-us]mmmm"),"")</f>
        <v/>
      </c>
      <c r="AK246" s="165" t="str">
        <f>IFERROR(VALUE(SUBSTITUTE(OpenPendingCases[[#This Row],[Price]]," AED","")),"")</f>
        <v/>
      </c>
      <c r="AL246" s="165" t="str">
        <f>IFERROR(VALUE(LEFT(OpenPendingCases[[#This Row],[Price]],FIND(" ",OpenPendingCases[[#This Row],[Price]])-1)),"")</f>
        <v/>
      </c>
      <c r="AM246" s="165" t="str">
        <f>IFERROR(VALUE(_xlfn.TEXTBEFORE(OpenPendingCases[[#This Row],[Price]]," AED")),"")</f>
        <v/>
      </c>
      <c r="AN246" s="165"/>
    </row>
    <row r="247" spans="3:40" ht="18" hidden="1" x14ac:dyDescent="0.35">
      <c r="C247" s="134"/>
      <c r="D247" s="137" t="str">
        <f>IF($U247="Open Sale", IF(MAX($D$4:D246)+1=0, "", MAX($D$4:D246)+1), "")</f>
        <v/>
      </c>
      <c r="E247" s="137" t="str">
        <f>IF($U247="Pending Allocation", IF(MAX($E$4:E246)+1=0, "", MAX($E$4:E246)+1), "")</f>
        <v/>
      </c>
      <c r="F247" s="137"/>
      <c r="G247" s="137"/>
      <c r="H247" s="150"/>
      <c r="I247" s="150"/>
      <c r="J247" s="68" t="str">
        <f>IF(OpenPendingCases[[#This Row],[Timepiece Reference ]]="", "", IF(_xlfn.XLOOKUP(OpenPendingCases[[#This Row],[Timepiece Reference ]], Table1[[Timepiece Reference ]], Table1[CRC STOCK], "Not Found")="YES", "CRC Stock", "Boutique Stock"))</f>
        <v/>
      </c>
      <c r="K247" s="137" t="str">
        <f>IF(OpenPendingCases[[#This Row],[Timepiece Reference ]]="", "", IF(_xlfn.XLOOKUP(OpenPendingCases[[#This Row],[Timepiece Reference ]], Table1[[Timepiece Reference ]], Table1[CRC STOCK], "Not Found")="YES", "CRC Stock", "Boutique Stock"))</f>
        <v/>
      </c>
      <c r="L247" s="143"/>
      <c r="M247" s="141"/>
      <c r="N247" s="137"/>
      <c r="O247" s="134"/>
      <c r="P247" s="94" t="str">
        <f>IFERROR(VLOOKUP(TRIM(O247), Collection!$B$2:$D$1001, 2, FALSE), "")</f>
        <v/>
      </c>
      <c r="Q247" s="190" t="str">
        <f>IFERROR(VLOOKUP(TRIM(O247), Collection!$B$2:$D$1001, 3, FALSE), "")</f>
        <v/>
      </c>
      <c r="R247" s="153" t="str">
        <f t="shared" si="23"/>
        <v/>
      </c>
      <c r="S247" s="151"/>
      <c r="T247" s="158"/>
      <c r="U247" s="137"/>
      <c r="V247" s="137"/>
      <c r="W247" s="156" t="str">
        <f t="shared" si="27"/>
        <v/>
      </c>
      <c r="X247" s="157"/>
      <c r="Y247" s="158"/>
      <c r="Z247" s="158"/>
      <c r="AA247" s="137" t="str">
        <f t="shared" ca="1" si="28"/>
        <v/>
      </c>
      <c r="AB247" s="137" t="str">
        <f t="shared" ca="1" si="24"/>
        <v/>
      </c>
      <c r="AC247" s="160" t="str">
        <f t="shared" ca="1" si="25"/>
        <v/>
      </c>
      <c r="AD247" s="159" t="str">
        <f t="shared" ca="1" si="26"/>
        <v/>
      </c>
      <c r="AE247" s="161"/>
      <c r="AF247" s="161"/>
      <c r="AG247" s="161"/>
      <c r="AH247" s="137"/>
      <c r="AI247" s="164" t="str">
        <f t="shared" si="29"/>
        <v/>
      </c>
      <c r="AJ247" s="164" t="str">
        <f>IF(AND(OpenPendingCases[[#This Row],[Sale Status	]]="Open Sale",OpenPendingCases[[#This Row],[Potential Same Month]]="High"),TEXT(OpenPendingCases[[#This Row],[Request Entry Date]], "[$-en-us]mmmm"),"")</f>
        <v/>
      </c>
      <c r="AK247" s="165" t="str">
        <f>IFERROR(VALUE(SUBSTITUTE(OpenPendingCases[[#This Row],[Price]]," AED","")),"")</f>
        <v/>
      </c>
      <c r="AL247" s="165" t="str">
        <f>IFERROR(VALUE(LEFT(OpenPendingCases[[#This Row],[Price]],FIND(" ",OpenPendingCases[[#This Row],[Price]])-1)),"")</f>
        <v/>
      </c>
      <c r="AM247" s="165" t="str">
        <f>IFERROR(VALUE(_xlfn.TEXTBEFORE(OpenPendingCases[[#This Row],[Price]]," AED")),"")</f>
        <v/>
      </c>
      <c r="AN247" s="165"/>
    </row>
    <row r="248" spans="3:40" ht="18" hidden="1" x14ac:dyDescent="0.35">
      <c r="C248" s="134"/>
      <c r="D248" s="137" t="str">
        <f>IF($U248="Open Sale", IF(MAX($D$4:D247)+1=0, "", MAX($D$4:D247)+1), "")</f>
        <v/>
      </c>
      <c r="E248" s="137" t="str">
        <f>IF($U248="Pending Allocation", IF(MAX($E$4:E247)+1=0, "", MAX($E$4:E247)+1), "")</f>
        <v/>
      </c>
      <c r="F248" s="137"/>
      <c r="G248" s="137"/>
      <c r="H248" s="150"/>
      <c r="I248" s="150"/>
      <c r="J248" s="68" t="str">
        <f>IF(OpenPendingCases[[#This Row],[Timepiece Reference ]]="", "", IF(_xlfn.XLOOKUP(OpenPendingCases[[#This Row],[Timepiece Reference ]], Table1[[Timepiece Reference ]], Table1[CRC STOCK], "Not Found")="YES", "CRC Stock", "Boutique Stock"))</f>
        <v/>
      </c>
      <c r="K248" s="137" t="str">
        <f>IF(OpenPendingCases[[#This Row],[Timepiece Reference ]]="", "", IF(_xlfn.XLOOKUP(OpenPendingCases[[#This Row],[Timepiece Reference ]], Table1[[Timepiece Reference ]], Table1[CRC STOCK], "Not Found")="YES", "CRC Stock", "Boutique Stock"))</f>
        <v/>
      </c>
      <c r="L248" s="143"/>
      <c r="M248" s="141"/>
      <c r="N248" s="137"/>
      <c r="O248" s="134"/>
      <c r="P248" s="94" t="str">
        <f>IFERROR(VLOOKUP(TRIM(O248), Collection!$B$2:$D$1001, 2, FALSE), "")</f>
        <v/>
      </c>
      <c r="Q248" s="190" t="str">
        <f>IFERROR(VLOOKUP(TRIM(O248), Collection!$B$2:$D$1001, 3, FALSE), "")</f>
        <v/>
      </c>
      <c r="R248" s="153" t="str">
        <f t="shared" si="23"/>
        <v/>
      </c>
      <c r="S248" s="151"/>
      <c r="T248" s="158"/>
      <c r="U248" s="137"/>
      <c r="V248" s="137"/>
      <c r="W248" s="156" t="str">
        <f t="shared" si="27"/>
        <v/>
      </c>
      <c r="X248" s="157"/>
      <c r="Y248" s="158"/>
      <c r="Z248" s="158"/>
      <c r="AA248" s="137" t="str">
        <f t="shared" ca="1" si="28"/>
        <v/>
      </c>
      <c r="AB248" s="137" t="str">
        <f t="shared" ca="1" si="24"/>
        <v/>
      </c>
      <c r="AC248" s="160" t="str">
        <f t="shared" ca="1" si="25"/>
        <v/>
      </c>
      <c r="AD248" s="159" t="str">
        <f t="shared" ca="1" si="26"/>
        <v/>
      </c>
      <c r="AE248" s="161"/>
      <c r="AF248" s="161"/>
      <c r="AG248" s="161"/>
      <c r="AH248" s="137"/>
      <c r="AI248" s="164" t="str">
        <f t="shared" si="29"/>
        <v/>
      </c>
      <c r="AJ248" s="164" t="str">
        <f>IF(AND(OpenPendingCases[[#This Row],[Sale Status	]]="Open Sale",OpenPendingCases[[#This Row],[Potential Same Month]]="High"),TEXT(OpenPendingCases[[#This Row],[Request Entry Date]], "[$-en-us]mmmm"),"")</f>
        <v/>
      </c>
      <c r="AK248" s="165" t="str">
        <f>IFERROR(VALUE(SUBSTITUTE(OpenPendingCases[[#This Row],[Price]]," AED","")),"")</f>
        <v/>
      </c>
      <c r="AL248" s="165" t="str">
        <f>IFERROR(VALUE(LEFT(OpenPendingCases[[#This Row],[Price]],FIND(" ",OpenPendingCases[[#This Row],[Price]])-1)),"")</f>
        <v/>
      </c>
      <c r="AM248" s="165" t="str">
        <f>IFERROR(VALUE(_xlfn.TEXTBEFORE(OpenPendingCases[[#This Row],[Price]]," AED")),"")</f>
        <v/>
      </c>
      <c r="AN248" s="165"/>
    </row>
    <row r="249" spans="3:40" ht="18" hidden="1" x14ac:dyDescent="0.35">
      <c r="C249" s="134"/>
      <c r="D249" s="137" t="str">
        <f>IF($U249="Open Sale", IF(MAX($D$4:D248)+1=0, "", MAX($D$4:D248)+1), "")</f>
        <v/>
      </c>
      <c r="E249" s="137" t="str">
        <f>IF($U249="Pending Allocation", IF(MAX($E$4:E248)+1=0, "", MAX($E$4:E248)+1), "")</f>
        <v/>
      </c>
      <c r="F249" s="137"/>
      <c r="G249" s="137"/>
      <c r="H249" s="150"/>
      <c r="I249" s="150"/>
      <c r="J249" s="68" t="str">
        <f>IF(OpenPendingCases[[#This Row],[Timepiece Reference ]]="", "", IF(_xlfn.XLOOKUP(OpenPendingCases[[#This Row],[Timepiece Reference ]], Table1[[Timepiece Reference ]], Table1[CRC STOCK], "Not Found")="YES", "CRC Stock", "Boutique Stock"))</f>
        <v/>
      </c>
      <c r="K249" s="137" t="str">
        <f>IF(OpenPendingCases[[#This Row],[Timepiece Reference ]]="", "", IF(_xlfn.XLOOKUP(OpenPendingCases[[#This Row],[Timepiece Reference ]], Table1[[Timepiece Reference ]], Table1[CRC STOCK], "Not Found")="YES", "CRC Stock", "Boutique Stock"))</f>
        <v/>
      </c>
      <c r="L249" s="143"/>
      <c r="M249" s="141"/>
      <c r="N249" s="137"/>
      <c r="O249" s="134"/>
      <c r="P249" s="94" t="str">
        <f>IFERROR(VLOOKUP(TRIM(O249), Collection!$B$2:$D$1001, 2, FALSE), "")</f>
        <v/>
      </c>
      <c r="Q249" s="190" t="str">
        <f>IFERROR(VLOOKUP(TRIM(O249), Collection!$B$2:$D$1001, 3, FALSE), "")</f>
        <v/>
      </c>
      <c r="R249" s="153" t="str">
        <f t="shared" si="23"/>
        <v/>
      </c>
      <c r="S249" s="151"/>
      <c r="T249" s="158"/>
      <c r="U249" s="137"/>
      <c r="V249" s="137"/>
      <c r="W249" s="156" t="str">
        <f t="shared" si="27"/>
        <v/>
      </c>
      <c r="X249" s="157"/>
      <c r="Y249" s="158"/>
      <c r="Z249" s="158"/>
      <c r="AA249" s="137" t="str">
        <f t="shared" ca="1" si="28"/>
        <v/>
      </c>
      <c r="AB249" s="137" t="str">
        <f t="shared" ca="1" si="24"/>
        <v/>
      </c>
      <c r="AC249" s="160" t="str">
        <f t="shared" ca="1" si="25"/>
        <v/>
      </c>
      <c r="AD249" s="159" t="str">
        <f t="shared" ca="1" si="26"/>
        <v/>
      </c>
      <c r="AE249" s="161"/>
      <c r="AF249" s="161"/>
      <c r="AG249" s="161"/>
      <c r="AH249" s="137"/>
      <c r="AI249" s="164" t="str">
        <f t="shared" si="29"/>
        <v/>
      </c>
      <c r="AJ249" s="164" t="str">
        <f>IF(AND(OpenPendingCases[[#This Row],[Sale Status	]]="Open Sale",OpenPendingCases[[#This Row],[Potential Same Month]]="High"),TEXT(OpenPendingCases[[#This Row],[Request Entry Date]], "[$-en-us]mmmm"),"")</f>
        <v/>
      </c>
      <c r="AK249" s="165" t="str">
        <f>IFERROR(VALUE(SUBSTITUTE(OpenPendingCases[[#This Row],[Price]]," AED","")),"")</f>
        <v/>
      </c>
      <c r="AL249" s="165" t="str">
        <f>IFERROR(VALUE(LEFT(OpenPendingCases[[#This Row],[Price]],FIND(" ",OpenPendingCases[[#This Row],[Price]])-1)),"")</f>
        <v/>
      </c>
      <c r="AM249" s="165" t="str">
        <f>IFERROR(VALUE(_xlfn.TEXTBEFORE(OpenPendingCases[[#This Row],[Price]]," AED")),"")</f>
        <v/>
      </c>
      <c r="AN249" s="165"/>
    </row>
    <row r="250" spans="3:40" ht="18" hidden="1" x14ac:dyDescent="0.35">
      <c r="C250" s="134"/>
      <c r="D250" s="137" t="str">
        <f>IF($U250="Open Sale", IF(MAX($D$4:D249)+1=0, "", MAX($D$4:D249)+1), "")</f>
        <v/>
      </c>
      <c r="E250" s="137" t="str">
        <f>IF($U250="Pending Allocation", IF(MAX($E$4:E249)+1=0, "", MAX($E$4:E249)+1), "")</f>
        <v/>
      </c>
      <c r="F250" s="137"/>
      <c r="G250" s="137"/>
      <c r="H250" s="150"/>
      <c r="I250" s="150"/>
      <c r="J250" s="68" t="str">
        <f>IF(OpenPendingCases[[#This Row],[Timepiece Reference ]]="", "", IF(_xlfn.XLOOKUP(OpenPendingCases[[#This Row],[Timepiece Reference ]], Table1[[Timepiece Reference ]], Table1[CRC STOCK], "Not Found")="YES", "CRC Stock", "Boutique Stock"))</f>
        <v/>
      </c>
      <c r="K250" s="137" t="str">
        <f>IF(OpenPendingCases[[#This Row],[Timepiece Reference ]]="", "", IF(_xlfn.XLOOKUP(OpenPendingCases[[#This Row],[Timepiece Reference ]], Table1[[Timepiece Reference ]], Table1[CRC STOCK], "Not Found")="YES", "CRC Stock", "Boutique Stock"))</f>
        <v/>
      </c>
      <c r="L250" s="143"/>
      <c r="M250" s="141"/>
      <c r="N250" s="137"/>
      <c r="O250" s="134"/>
      <c r="P250" s="94" t="str">
        <f>IFERROR(VLOOKUP(TRIM(O250), Collection!$B$2:$D$1001, 2, FALSE), "")</f>
        <v/>
      </c>
      <c r="Q250" s="190" t="str">
        <f>IFERROR(VLOOKUP(TRIM(O250), Collection!$B$2:$D$1001, 3, FALSE), "")</f>
        <v/>
      </c>
      <c r="R250" s="153" t="str">
        <f t="shared" si="23"/>
        <v/>
      </c>
      <c r="S250" s="151"/>
      <c r="T250" s="158"/>
      <c r="U250" s="137"/>
      <c r="V250" s="137"/>
      <c r="W250" s="156" t="str">
        <f t="shared" si="27"/>
        <v/>
      </c>
      <c r="X250" s="157"/>
      <c r="Y250" s="158"/>
      <c r="Z250" s="158"/>
      <c r="AA250" s="137" t="str">
        <f t="shared" ca="1" si="28"/>
        <v/>
      </c>
      <c r="AB250" s="137" t="str">
        <f t="shared" ca="1" si="24"/>
        <v/>
      </c>
      <c r="AC250" s="160" t="str">
        <f t="shared" ca="1" si="25"/>
        <v/>
      </c>
      <c r="AD250" s="159" t="str">
        <f t="shared" ca="1" si="26"/>
        <v/>
      </c>
      <c r="AE250" s="161"/>
      <c r="AF250" s="161"/>
      <c r="AG250" s="161"/>
      <c r="AH250" s="137"/>
      <c r="AI250" s="164" t="str">
        <f t="shared" si="29"/>
        <v/>
      </c>
      <c r="AJ250" s="164" t="str">
        <f>IF(AND(OpenPendingCases[[#This Row],[Sale Status	]]="Open Sale",OpenPendingCases[[#This Row],[Potential Same Month]]="High"),TEXT(OpenPendingCases[[#This Row],[Request Entry Date]], "[$-en-us]mmmm"),"")</f>
        <v/>
      </c>
      <c r="AK250" s="165" t="str">
        <f>IFERROR(VALUE(SUBSTITUTE(OpenPendingCases[[#This Row],[Price]]," AED","")),"")</f>
        <v/>
      </c>
      <c r="AL250" s="165" t="str">
        <f>IFERROR(VALUE(LEFT(OpenPendingCases[[#This Row],[Price]],FIND(" ",OpenPendingCases[[#This Row],[Price]])-1)),"")</f>
        <v/>
      </c>
      <c r="AM250" s="165" t="str">
        <f>IFERROR(VALUE(_xlfn.TEXTBEFORE(OpenPendingCases[[#This Row],[Price]]," AED")),"")</f>
        <v/>
      </c>
      <c r="AN250" s="165"/>
    </row>
    <row r="251" spans="3:40" ht="18" hidden="1" x14ac:dyDescent="0.35">
      <c r="C251" s="134"/>
      <c r="D251" s="137" t="str">
        <f>IF($U251="Open Sale", IF(MAX($D$4:D250)+1=0, "", MAX($D$4:D250)+1), "")</f>
        <v/>
      </c>
      <c r="E251" s="137" t="str">
        <f>IF($U251="Pending Allocation", IF(MAX($E$4:E250)+1=0, "", MAX($E$4:E250)+1), "")</f>
        <v/>
      </c>
      <c r="F251" s="137"/>
      <c r="G251" s="137"/>
      <c r="H251" s="150"/>
      <c r="I251" s="150"/>
      <c r="J251" s="68" t="str">
        <f>IF(OpenPendingCases[[#This Row],[Timepiece Reference ]]="", "", IF(_xlfn.XLOOKUP(OpenPendingCases[[#This Row],[Timepiece Reference ]], Table1[[Timepiece Reference ]], Table1[CRC STOCK], "Not Found")="YES", "CRC Stock", "Boutique Stock"))</f>
        <v/>
      </c>
      <c r="K251" s="137" t="str">
        <f>IF(OpenPendingCases[[#This Row],[Timepiece Reference ]]="", "", IF(_xlfn.XLOOKUP(OpenPendingCases[[#This Row],[Timepiece Reference ]], Table1[[Timepiece Reference ]], Table1[CRC STOCK], "Not Found")="YES", "CRC Stock", "Boutique Stock"))</f>
        <v/>
      </c>
      <c r="L251" s="143"/>
      <c r="M251" s="141"/>
      <c r="N251" s="137"/>
      <c r="O251" s="134"/>
      <c r="P251" s="94" t="str">
        <f>IFERROR(VLOOKUP(TRIM(O251), Collection!$B$2:$D$1001, 2, FALSE), "")</f>
        <v/>
      </c>
      <c r="Q251" s="190" t="str">
        <f>IFERROR(VLOOKUP(TRIM(O251), Collection!$B$2:$D$1001, 3, FALSE), "")</f>
        <v/>
      </c>
      <c r="R251" s="153" t="str">
        <f t="shared" si="23"/>
        <v/>
      </c>
      <c r="S251" s="151"/>
      <c r="T251" s="158"/>
      <c r="U251" s="137"/>
      <c r="V251" s="137"/>
      <c r="W251" s="156" t="str">
        <f t="shared" si="27"/>
        <v/>
      </c>
      <c r="X251" s="157"/>
      <c r="Y251" s="158"/>
      <c r="Z251" s="158"/>
      <c r="AA251" s="137" t="str">
        <f t="shared" ca="1" si="28"/>
        <v/>
      </c>
      <c r="AB251" s="137" t="str">
        <f t="shared" ca="1" si="24"/>
        <v/>
      </c>
      <c r="AC251" s="160" t="str">
        <f t="shared" ca="1" si="25"/>
        <v/>
      </c>
      <c r="AD251" s="159" t="str">
        <f t="shared" ca="1" si="26"/>
        <v/>
      </c>
      <c r="AE251" s="161"/>
      <c r="AF251" s="161"/>
      <c r="AG251" s="161"/>
      <c r="AH251" s="137"/>
      <c r="AI251" s="164" t="str">
        <f t="shared" si="29"/>
        <v/>
      </c>
      <c r="AJ251" s="164" t="str">
        <f>IF(AND(OpenPendingCases[[#This Row],[Sale Status	]]="Open Sale",OpenPendingCases[[#This Row],[Potential Same Month]]="High"),TEXT(OpenPendingCases[[#This Row],[Request Entry Date]], "[$-en-us]mmmm"),"")</f>
        <v/>
      </c>
      <c r="AK251" s="165" t="str">
        <f>IFERROR(VALUE(SUBSTITUTE(OpenPendingCases[[#This Row],[Price]]," AED","")),"")</f>
        <v/>
      </c>
      <c r="AL251" s="165" t="str">
        <f>IFERROR(VALUE(LEFT(OpenPendingCases[[#This Row],[Price]],FIND(" ",OpenPendingCases[[#This Row],[Price]])-1)),"")</f>
        <v/>
      </c>
      <c r="AM251" s="165" t="str">
        <f>IFERROR(VALUE(_xlfn.TEXTBEFORE(OpenPendingCases[[#This Row],[Price]]," AED")),"")</f>
        <v/>
      </c>
      <c r="AN251" s="165"/>
    </row>
    <row r="252" spans="3:40" ht="18" hidden="1" x14ac:dyDescent="0.35">
      <c r="C252" s="134"/>
      <c r="D252" s="137" t="str">
        <f>IF($U252="Open Sale", IF(MAX($D$4:D251)+1=0, "", MAX($D$4:D251)+1), "")</f>
        <v/>
      </c>
      <c r="E252" s="137" t="str">
        <f>IF($U252="Pending Allocation", IF(MAX($E$4:E251)+1=0, "", MAX($E$4:E251)+1), "")</f>
        <v/>
      </c>
      <c r="F252" s="137"/>
      <c r="G252" s="137"/>
      <c r="H252" s="150"/>
      <c r="I252" s="150"/>
      <c r="J252" s="68" t="str">
        <f>IF(OpenPendingCases[[#This Row],[Timepiece Reference ]]="", "", IF(_xlfn.XLOOKUP(OpenPendingCases[[#This Row],[Timepiece Reference ]], Table1[[Timepiece Reference ]], Table1[CRC STOCK], "Not Found")="YES", "CRC Stock", "Boutique Stock"))</f>
        <v/>
      </c>
      <c r="K252" s="137" t="str">
        <f>IF(OpenPendingCases[[#This Row],[Timepiece Reference ]]="", "", IF(_xlfn.XLOOKUP(OpenPendingCases[[#This Row],[Timepiece Reference ]], Table1[[Timepiece Reference ]], Table1[CRC STOCK], "Not Found")="YES", "CRC Stock", "Boutique Stock"))</f>
        <v/>
      </c>
      <c r="L252" s="143"/>
      <c r="M252" s="141"/>
      <c r="N252" s="137"/>
      <c r="O252" s="134"/>
      <c r="P252" s="94" t="str">
        <f>IFERROR(VLOOKUP(TRIM(O252), Collection!$B$2:$D$1001, 2, FALSE), "")</f>
        <v/>
      </c>
      <c r="Q252" s="190" t="str">
        <f>IFERROR(VLOOKUP(TRIM(O252), Collection!$B$2:$D$1001, 3, FALSE), "")</f>
        <v/>
      </c>
      <c r="R252" s="153" t="str">
        <f t="shared" si="23"/>
        <v/>
      </c>
      <c r="S252" s="151"/>
      <c r="T252" s="158"/>
      <c r="U252" s="137"/>
      <c r="V252" s="137"/>
      <c r="W252" s="156" t="str">
        <f t="shared" si="27"/>
        <v/>
      </c>
      <c r="X252" s="157"/>
      <c r="Y252" s="158"/>
      <c r="Z252" s="158"/>
      <c r="AA252" s="137" t="str">
        <f t="shared" ca="1" si="28"/>
        <v/>
      </c>
      <c r="AB252" s="137" t="str">
        <f t="shared" ca="1" si="24"/>
        <v/>
      </c>
      <c r="AC252" s="160" t="str">
        <f t="shared" ca="1" si="25"/>
        <v/>
      </c>
      <c r="AD252" s="159" t="str">
        <f t="shared" ca="1" si="26"/>
        <v/>
      </c>
      <c r="AE252" s="161"/>
      <c r="AF252" s="161"/>
      <c r="AG252" s="161"/>
      <c r="AH252" s="137"/>
      <c r="AI252" s="164" t="str">
        <f t="shared" si="29"/>
        <v/>
      </c>
      <c r="AJ252" s="164" t="str">
        <f>IF(AND(OpenPendingCases[[#This Row],[Sale Status	]]="Open Sale",OpenPendingCases[[#This Row],[Potential Same Month]]="High"),TEXT(OpenPendingCases[[#This Row],[Request Entry Date]], "[$-en-us]mmmm"),"")</f>
        <v/>
      </c>
      <c r="AK252" s="165" t="str">
        <f>IFERROR(VALUE(SUBSTITUTE(OpenPendingCases[[#This Row],[Price]]," AED","")),"")</f>
        <v/>
      </c>
      <c r="AL252" s="165" t="str">
        <f>IFERROR(VALUE(LEFT(OpenPendingCases[[#This Row],[Price]],FIND(" ",OpenPendingCases[[#This Row],[Price]])-1)),"")</f>
        <v/>
      </c>
      <c r="AM252" s="165" t="str">
        <f>IFERROR(VALUE(_xlfn.TEXTBEFORE(OpenPendingCases[[#This Row],[Price]]," AED")),"")</f>
        <v/>
      </c>
      <c r="AN252" s="165"/>
    </row>
    <row r="253" spans="3:40" ht="18" hidden="1" x14ac:dyDescent="0.35">
      <c r="C253" s="134"/>
      <c r="D253" s="137" t="str">
        <f>IF($U253="Open Sale", IF(MAX($D$4:D252)+1=0, "", MAX($D$4:D252)+1), "")</f>
        <v/>
      </c>
      <c r="E253" s="137" t="str">
        <f>IF($U253="Pending Allocation", IF(MAX($E$4:E252)+1=0, "", MAX($E$4:E252)+1), "")</f>
        <v/>
      </c>
      <c r="F253" s="137"/>
      <c r="G253" s="137"/>
      <c r="H253" s="150"/>
      <c r="I253" s="150"/>
      <c r="J253" s="68" t="str">
        <f>IF(OpenPendingCases[[#This Row],[Timepiece Reference ]]="", "", IF(_xlfn.XLOOKUP(OpenPendingCases[[#This Row],[Timepiece Reference ]], Table1[[Timepiece Reference ]], Table1[CRC STOCK], "Not Found")="YES", "CRC Stock", "Boutique Stock"))</f>
        <v/>
      </c>
      <c r="K253" s="137" t="str">
        <f>IF(OpenPendingCases[[#This Row],[Timepiece Reference ]]="", "", IF(_xlfn.XLOOKUP(OpenPendingCases[[#This Row],[Timepiece Reference ]], Table1[[Timepiece Reference ]], Table1[CRC STOCK], "Not Found")="YES", "CRC Stock", "Boutique Stock"))</f>
        <v/>
      </c>
      <c r="L253" s="143"/>
      <c r="M253" s="141"/>
      <c r="N253" s="137"/>
      <c r="O253" s="134"/>
      <c r="P253" s="94" t="str">
        <f>IFERROR(VLOOKUP(TRIM(O253), Collection!$B$2:$D$1001, 2, FALSE), "")</f>
        <v/>
      </c>
      <c r="Q253" s="190" t="str">
        <f>IFERROR(VLOOKUP(TRIM(O253), Collection!$B$2:$D$1001, 3, FALSE), "")</f>
        <v/>
      </c>
      <c r="R253" s="153" t="str">
        <f t="shared" si="23"/>
        <v/>
      </c>
      <c r="S253" s="151"/>
      <c r="T253" s="158"/>
      <c r="U253" s="137"/>
      <c r="V253" s="137"/>
      <c r="W253" s="156" t="str">
        <f t="shared" si="27"/>
        <v/>
      </c>
      <c r="X253" s="157"/>
      <c r="Y253" s="158"/>
      <c r="Z253" s="158"/>
      <c r="AA253" s="137" t="str">
        <f t="shared" ca="1" si="28"/>
        <v/>
      </c>
      <c r="AB253" s="137" t="str">
        <f t="shared" ca="1" si="24"/>
        <v/>
      </c>
      <c r="AC253" s="160" t="str">
        <f t="shared" ca="1" si="25"/>
        <v/>
      </c>
      <c r="AD253" s="159" t="str">
        <f t="shared" ca="1" si="26"/>
        <v/>
      </c>
      <c r="AE253" s="161"/>
      <c r="AF253" s="161"/>
      <c r="AG253" s="161"/>
      <c r="AH253" s="137"/>
      <c r="AI253" s="164" t="str">
        <f t="shared" si="29"/>
        <v/>
      </c>
      <c r="AJ253" s="164" t="str">
        <f>IF(AND(OpenPendingCases[[#This Row],[Sale Status	]]="Open Sale",OpenPendingCases[[#This Row],[Potential Same Month]]="High"),TEXT(OpenPendingCases[[#This Row],[Request Entry Date]], "[$-en-us]mmmm"),"")</f>
        <v/>
      </c>
      <c r="AK253" s="165" t="str">
        <f>IFERROR(VALUE(SUBSTITUTE(OpenPendingCases[[#This Row],[Price]]," AED","")),"")</f>
        <v/>
      </c>
      <c r="AL253" s="165" t="str">
        <f>IFERROR(VALUE(LEFT(OpenPendingCases[[#This Row],[Price]],FIND(" ",OpenPendingCases[[#This Row],[Price]])-1)),"")</f>
        <v/>
      </c>
      <c r="AM253" s="165" t="str">
        <f>IFERROR(VALUE(_xlfn.TEXTBEFORE(OpenPendingCases[[#This Row],[Price]]," AED")),"")</f>
        <v/>
      </c>
      <c r="AN253" s="165"/>
    </row>
    <row r="254" spans="3:40" ht="18" hidden="1" x14ac:dyDescent="0.35">
      <c r="C254" s="134"/>
      <c r="D254" s="137" t="str">
        <f>IF($U254="Open Sale", IF(MAX($D$4:D253)+1=0, "", MAX($D$4:D253)+1), "")</f>
        <v/>
      </c>
      <c r="E254" s="137" t="str">
        <f>IF($U254="Pending Allocation", IF(MAX($E$4:E253)+1=0, "", MAX($E$4:E253)+1), "")</f>
        <v/>
      </c>
      <c r="F254" s="137"/>
      <c r="G254" s="137"/>
      <c r="H254" s="150"/>
      <c r="I254" s="150"/>
      <c r="J254" s="68" t="str">
        <f>IF(OpenPendingCases[[#This Row],[Timepiece Reference ]]="", "", IF(_xlfn.XLOOKUP(OpenPendingCases[[#This Row],[Timepiece Reference ]], Table1[[Timepiece Reference ]], Table1[CRC STOCK], "Not Found")="YES", "CRC Stock", "Boutique Stock"))</f>
        <v/>
      </c>
      <c r="K254" s="137" t="str">
        <f>IF(OpenPendingCases[[#This Row],[Timepiece Reference ]]="", "", IF(_xlfn.XLOOKUP(OpenPendingCases[[#This Row],[Timepiece Reference ]], Table1[[Timepiece Reference ]], Table1[CRC STOCK], "Not Found")="YES", "CRC Stock", "Boutique Stock"))</f>
        <v/>
      </c>
      <c r="L254" s="143"/>
      <c r="M254" s="141"/>
      <c r="N254" s="137"/>
      <c r="O254" s="134"/>
      <c r="P254" s="94" t="str">
        <f>IFERROR(VLOOKUP(TRIM(O254), Collection!$B$2:$D$1001, 2, FALSE), "")</f>
        <v/>
      </c>
      <c r="Q254" s="190" t="str">
        <f>IFERROR(VLOOKUP(TRIM(O254), Collection!$B$2:$D$1001, 3, FALSE), "")</f>
        <v/>
      </c>
      <c r="R254" s="153" t="str">
        <f t="shared" si="23"/>
        <v/>
      </c>
      <c r="S254" s="151"/>
      <c r="T254" s="158"/>
      <c r="U254" s="137"/>
      <c r="V254" s="137"/>
      <c r="W254" s="156" t="str">
        <f t="shared" si="27"/>
        <v/>
      </c>
      <c r="X254" s="157"/>
      <c r="Y254" s="158"/>
      <c r="Z254" s="158"/>
      <c r="AA254" s="137" t="str">
        <f t="shared" ca="1" si="28"/>
        <v/>
      </c>
      <c r="AB254" s="137" t="str">
        <f t="shared" ca="1" si="24"/>
        <v/>
      </c>
      <c r="AC254" s="160" t="str">
        <f t="shared" ca="1" si="25"/>
        <v/>
      </c>
      <c r="AD254" s="159" t="str">
        <f t="shared" ca="1" si="26"/>
        <v/>
      </c>
      <c r="AE254" s="161"/>
      <c r="AF254" s="161"/>
      <c r="AG254" s="161"/>
      <c r="AH254" s="137"/>
      <c r="AI254" s="164" t="str">
        <f t="shared" si="29"/>
        <v/>
      </c>
      <c r="AJ254" s="164" t="str">
        <f>IF(AND(OpenPendingCases[[#This Row],[Sale Status	]]="Open Sale",OpenPendingCases[[#This Row],[Potential Same Month]]="High"),TEXT(OpenPendingCases[[#This Row],[Request Entry Date]], "[$-en-us]mmmm"),"")</f>
        <v/>
      </c>
      <c r="AK254" s="165" t="str">
        <f>IFERROR(VALUE(SUBSTITUTE(OpenPendingCases[[#This Row],[Price]]," AED","")),"")</f>
        <v/>
      </c>
      <c r="AL254" s="165" t="str">
        <f>IFERROR(VALUE(LEFT(OpenPendingCases[[#This Row],[Price]],FIND(" ",OpenPendingCases[[#This Row],[Price]])-1)),"")</f>
        <v/>
      </c>
      <c r="AM254" s="165" t="str">
        <f>IFERROR(VALUE(_xlfn.TEXTBEFORE(OpenPendingCases[[#This Row],[Price]]," AED")),"")</f>
        <v/>
      </c>
      <c r="AN254" s="165"/>
    </row>
    <row r="255" spans="3:40" ht="18" hidden="1" x14ac:dyDescent="0.35">
      <c r="C255" s="134"/>
      <c r="D255" s="137" t="str">
        <f>IF($U255="Open Sale", IF(MAX($D$4:D254)+1=0, "", MAX($D$4:D254)+1), "")</f>
        <v/>
      </c>
      <c r="E255" s="137" t="str">
        <f>IF($U255="Pending Allocation", IF(MAX($E$4:E254)+1=0, "", MAX($E$4:E254)+1), "")</f>
        <v/>
      </c>
      <c r="F255" s="137"/>
      <c r="G255" s="137"/>
      <c r="H255" s="150"/>
      <c r="I255" s="150"/>
      <c r="J255" s="68" t="str">
        <f>IF(OpenPendingCases[[#This Row],[Timepiece Reference ]]="", "", IF(_xlfn.XLOOKUP(OpenPendingCases[[#This Row],[Timepiece Reference ]], Table1[[Timepiece Reference ]], Table1[CRC STOCK], "Not Found")="YES", "CRC Stock", "Boutique Stock"))</f>
        <v/>
      </c>
      <c r="K255" s="137" t="str">
        <f>IF(OpenPendingCases[[#This Row],[Timepiece Reference ]]="", "", IF(_xlfn.XLOOKUP(OpenPendingCases[[#This Row],[Timepiece Reference ]], Table1[[Timepiece Reference ]], Table1[CRC STOCK], "Not Found")="YES", "CRC Stock", "Boutique Stock"))</f>
        <v/>
      </c>
      <c r="L255" s="143"/>
      <c r="M255" s="141"/>
      <c r="N255" s="137"/>
      <c r="O255" s="134"/>
      <c r="P255" s="94" t="str">
        <f>IFERROR(VLOOKUP(TRIM(O255), Collection!$B$2:$D$1001, 2, FALSE), "")</f>
        <v/>
      </c>
      <c r="Q255" s="190" t="str">
        <f>IFERROR(VLOOKUP(TRIM(O255), Collection!$B$2:$D$1001, 3, FALSE), "")</f>
        <v/>
      </c>
      <c r="R255" s="153" t="str">
        <f t="shared" si="23"/>
        <v/>
      </c>
      <c r="S255" s="151"/>
      <c r="T255" s="158"/>
      <c r="U255" s="137"/>
      <c r="V255" s="137"/>
      <c r="W255" s="156" t="str">
        <f t="shared" si="27"/>
        <v/>
      </c>
      <c r="X255" s="157"/>
      <c r="Y255" s="158"/>
      <c r="Z255" s="158"/>
      <c r="AA255" s="137" t="str">
        <f t="shared" ca="1" si="28"/>
        <v/>
      </c>
      <c r="AB255" s="137" t="str">
        <f t="shared" ca="1" si="24"/>
        <v/>
      </c>
      <c r="AC255" s="160" t="str">
        <f t="shared" ca="1" si="25"/>
        <v/>
      </c>
      <c r="AD255" s="159" t="str">
        <f t="shared" ca="1" si="26"/>
        <v/>
      </c>
      <c r="AE255" s="161"/>
      <c r="AF255" s="161"/>
      <c r="AG255" s="161"/>
      <c r="AH255" s="137"/>
      <c r="AI255" s="164" t="str">
        <f t="shared" si="29"/>
        <v/>
      </c>
      <c r="AJ255" s="164" t="str">
        <f>IF(AND(OpenPendingCases[[#This Row],[Sale Status	]]="Open Sale",OpenPendingCases[[#This Row],[Potential Same Month]]="High"),TEXT(OpenPendingCases[[#This Row],[Request Entry Date]], "[$-en-us]mmmm"),"")</f>
        <v/>
      </c>
      <c r="AK255" s="165" t="str">
        <f>IFERROR(VALUE(SUBSTITUTE(OpenPendingCases[[#This Row],[Price]]," AED","")),"")</f>
        <v/>
      </c>
      <c r="AL255" s="165" t="str">
        <f>IFERROR(VALUE(LEFT(OpenPendingCases[[#This Row],[Price]],FIND(" ",OpenPendingCases[[#This Row],[Price]])-1)),"")</f>
        <v/>
      </c>
      <c r="AM255" s="165" t="str">
        <f>IFERROR(VALUE(_xlfn.TEXTBEFORE(OpenPendingCases[[#This Row],[Price]]," AED")),"")</f>
        <v/>
      </c>
      <c r="AN255" s="165"/>
    </row>
    <row r="256" spans="3:40" ht="18" hidden="1" x14ac:dyDescent="0.35">
      <c r="C256" s="134"/>
      <c r="D256" s="137" t="str">
        <f>IF($U256="Open Sale", IF(MAX($D$4:D255)+1=0, "", MAX($D$4:D255)+1), "")</f>
        <v/>
      </c>
      <c r="E256" s="137" t="str">
        <f>IF($U256="Pending Allocation", IF(MAX($E$4:E255)+1=0, "", MAX($E$4:E255)+1), "")</f>
        <v/>
      </c>
      <c r="F256" s="137"/>
      <c r="G256" s="137"/>
      <c r="H256" s="150"/>
      <c r="I256" s="150"/>
      <c r="J256" s="68" t="str">
        <f>IF(OpenPendingCases[[#This Row],[Timepiece Reference ]]="", "", IF(_xlfn.XLOOKUP(OpenPendingCases[[#This Row],[Timepiece Reference ]], Table1[[Timepiece Reference ]], Table1[CRC STOCK], "Not Found")="YES", "CRC Stock", "Boutique Stock"))</f>
        <v/>
      </c>
      <c r="K256" s="137" t="str">
        <f>IF(OpenPendingCases[[#This Row],[Timepiece Reference ]]="", "", IF(_xlfn.XLOOKUP(OpenPendingCases[[#This Row],[Timepiece Reference ]], Table1[[Timepiece Reference ]], Table1[CRC STOCK], "Not Found")="YES", "CRC Stock", "Boutique Stock"))</f>
        <v/>
      </c>
      <c r="L256" s="143"/>
      <c r="M256" s="141"/>
      <c r="N256" s="137"/>
      <c r="O256" s="134"/>
      <c r="P256" s="94" t="str">
        <f>IFERROR(VLOOKUP(TRIM(O256), Collection!$B$2:$D$1001, 2, FALSE), "")</f>
        <v/>
      </c>
      <c r="Q256" s="190" t="str">
        <f>IFERROR(VLOOKUP(TRIM(O256), Collection!$B$2:$D$1001, 3, FALSE), "")</f>
        <v/>
      </c>
      <c r="R256" s="153" t="str">
        <f t="shared" si="23"/>
        <v/>
      </c>
      <c r="S256" s="151"/>
      <c r="T256" s="158"/>
      <c r="U256" s="137"/>
      <c r="V256" s="137"/>
      <c r="W256" s="156" t="str">
        <f t="shared" si="27"/>
        <v/>
      </c>
      <c r="X256" s="157"/>
      <c r="Y256" s="158"/>
      <c r="Z256" s="158"/>
      <c r="AA256" s="137" t="str">
        <f t="shared" ca="1" si="28"/>
        <v/>
      </c>
      <c r="AB256" s="137" t="str">
        <f t="shared" ca="1" si="24"/>
        <v/>
      </c>
      <c r="AC256" s="160" t="str">
        <f t="shared" ca="1" si="25"/>
        <v/>
      </c>
      <c r="AD256" s="159" t="str">
        <f t="shared" ca="1" si="26"/>
        <v/>
      </c>
      <c r="AE256" s="161"/>
      <c r="AF256" s="161"/>
      <c r="AG256" s="161"/>
      <c r="AH256" s="137"/>
      <c r="AI256" s="164" t="str">
        <f t="shared" si="29"/>
        <v/>
      </c>
      <c r="AJ256" s="164" t="str">
        <f>IF(AND(OpenPendingCases[[#This Row],[Sale Status	]]="Open Sale",OpenPendingCases[[#This Row],[Potential Same Month]]="High"),TEXT(OpenPendingCases[[#This Row],[Request Entry Date]], "[$-en-us]mmmm"),"")</f>
        <v/>
      </c>
      <c r="AK256" s="165" t="str">
        <f>IFERROR(VALUE(SUBSTITUTE(OpenPendingCases[[#This Row],[Price]]," AED","")),"")</f>
        <v/>
      </c>
      <c r="AL256" s="165" t="str">
        <f>IFERROR(VALUE(LEFT(OpenPendingCases[[#This Row],[Price]],FIND(" ",OpenPendingCases[[#This Row],[Price]])-1)),"")</f>
        <v/>
      </c>
      <c r="AM256" s="165" t="str">
        <f>IFERROR(VALUE(_xlfn.TEXTBEFORE(OpenPendingCases[[#This Row],[Price]]," AED")),"")</f>
        <v/>
      </c>
      <c r="AN256" s="165"/>
    </row>
    <row r="257" spans="3:40" ht="18" hidden="1" x14ac:dyDescent="0.35">
      <c r="C257" s="134"/>
      <c r="D257" s="137" t="str">
        <f>IF($U257="Open Sale", IF(MAX($D$4:D256)+1=0, "", MAX($D$4:D256)+1), "")</f>
        <v/>
      </c>
      <c r="E257" s="137" t="str">
        <f>IF($U257="Pending Allocation", IF(MAX($E$4:E256)+1=0, "", MAX($E$4:E256)+1), "")</f>
        <v/>
      </c>
      <c r="F257" s="137"/>
      <c r="G257" s="137"/>
      <c r="H257" s="150"/>
      <c r="I257" s="150"/>
      <c r="J257" s="68" t="str">
        <f>IF(OpenPendingCases[[#This Row],[Timepiece Reference ]]="", "", IF(_xlfn.XLOOKUP(OpenPendingCases[[#This Row],[Timepiece Reference ]], Table1[[Timepiece Reference ]], Table1[CRC STOCK], "Not Found")="YES", "CRC Stock", "Boutique Stock"))</f>
        <v/>
      </c>
      <c r="K257" s="137" t="str">
        <f>IF(OpenPendingCases[[#This Row],[Timepiece Reference ]]="", "", IF(_xlfn.XLOOKUP(OpenPendingCases[[#This Row],[Timepiece Reference ]], Table1[[Timepiece Reference ]], Table1[CRC STOCK], "Not Found")="YES", "CRC Stock", "Boutique Stock"))</f>
        <v/>
      </c>
      <c r="L257" s="143"/>
      <c r="M257" s="141"/>
      <c r="N257" s="137"/>
      <c r="O257" s="134"/>
      <c r="P257" s="94" t="str">
        <f>IFERROR(VLOOKUP(TRIM(O257), Collection!$B$2:$D$1001, 2, FALSE), "")</f>
        <v/>
      </c>
      <c r="Q257" s="190" t="str">
        <f>IFERROR(VLOOKUP(TRIM(O257), Collection!$B$2:$D$1001, 3, FALSE), "")</f>
        <v/>
      </c>
      <c r="R257" s="153" t="str">
        <f t="shared" si="23"/>
        <v/>
      </c>
      <c r="S257" s="151"/>
      <c r="T257" s="158"/>
      <c r="U257" s="137"/>
      <c r="V257" s="137"/>
      <c r="W257" s="156" t="str">
        <f t="shared" si="27"/>
        <v/>
      </c>
      <c r="X257" s="157"/>
      <c r="Y257" s="158"/>
      <c r="Z257" s="158"/>
      <c r="AA257" s="137" t="str">
        <f t="shared" ca="1" si="28"/>
        <v/>
      </c>
      <c r="AB257" s="137" t="str">
        <f t="shared" ca="1" si="24"/>
        <v/>
      </c>
      <c r="AC257" s="160" t="str">
        <f t="shared" ca="1" si="25"/>
        <v/>
      </c>
      <c r="AD257" s="159" t="str">
        <f t="shared" ca="1" si="26"/>
        <v/>
      </c>
      <c r="AE257" s="161"/>
      <c r="AF257" s="161"/>
      <c r="AG257" s="161"/>
      <c r="AH257" s="137"/>
      <c r="AI257" s="164" t="str">
        <f t="shared" si="29"/>
        <v/>
      </c>
      <c r="AJ257" s="164" t="str">
        <f>IF(AND(OpenPendingCases[[#This Row],[Sale Status	]]="Open Sale",OpenPendingCases[[#This Row],[Potential Same Month]]="High"),TEXT(OpenPendingCases[[#This Row],[Request Entry Date]], "[$-en-us]mmmm"),"")</f>
        <v/>
      </c>
      <c r="AK257" s="165" t="str">
        <f>IFERROR(VALUE(SUBSTITUTE(OpenPendingCases[[#This Row],[Price]]," AED","")),"")</f>
        <v/>
      </c>
      <c r="AL257" s="165" t="str">
        <f>IFERROR(VALUE(LEFT(OpenPendingCases[[#This Row],[Price]],FIND(" ",OpenPendingCases[[#This Row],[Price]])-1)),"")</f>
        <v/>
      </c>
      <c r="AM257" s="165" t="str">
        <f>IFERROR(VALUE(_xlfn.TEXTBEFORE(OpenPendingCases[[#This Row],[Price]]," AED")),"")</f>
        <v/>
      </c>
      <c r="AN257" s="165"/>
    </row>
    <row r="258" spans="3:40" ht="18" hidden="1" x14ac:dyDescent="0.35">
      <c r="C258" s="134"/>
      <c r="D258" s="137" t="str">
        <f>IF($U258="Open Sale", IF(MAX($D$4:D257)+1=0, "", MAX($D$4:D257)+1), "")</f>
        <v/>
      </c>
      <c r="E258" s="137" t="str">
        <f>IF($U258="Pending Allocation", IF(MAX($E$4:E257)+1=0, "", MAX($E$4:E257)+1), "")</f>
        <v/>
      </c>
      <c r="F258" s="137"/>
      <c r="G258" s="137"/>
      <c r="H258" s="150"/>
      <c r="I258" s="150"/>
      <c r="J258" s="68" t="str">
        <f>IF(OpenPendingCases[[#This Row],[Timepiece Reference ]]="", "", IF(_xlfn.XLOOKUP(OpenPendingCases[[#This Row],[Timepiece Reference ]], Table1[[Timepiece Reference ]], Table1[CRC STOCK], "Not Found")="YES", "CRC Stock", "Boutique Stock"))</f>
        <v/>
      </c>
      <c r="K258" s="137" t="str">
        <f>IF(OpenPendingCases[[#This Row],[Timepiece Reference ]]="", "", IF(_xlfn.XLOOKUP(OpenPendingCases[[#This Row],[Timepiece Reference ]], Table1[[Timepiece Reference ]], Table1[CRC STOCK], "Not Found")="YES", "CRC Stock", "Boutique Stock"))</f>
        <v/>
      </c>
      <c r="L258" s="143"/>
      <c r="M258" s="141"/>
      <c r="N258" s="137"/>
      <c r="O258" s="134"/>
      <c r="P258" s="94" t="str">
        <f>IFERROR(VLOOKUP(TRIM(O258), Collection!$B$2:$D$1001, 2, FALSE), "")</f>
        <v/>
      </c>
      <c r="Q258" s="190" t="str">
        <f>IFERROR(VLOOKUP(TRIM(O258), Collection!$B$2:$D$1001, 3, FALSE), "")</f>
        <v/>
      </c>
      <c r="R258" s="153" t="str">
        <f t="shared" si="23"/>
        <v/>
      </c>
      <c r="S258" s="151"/>
      <c r="T258" s="158"/>
      <c r="U258" s="137"/>
      <c r="V258" s="137"/>
      <c r="W258" s="156" t="str">
        <f t="shared" si="27"/>
        <v/>
      </c>
      <c r="X258" s="157"/>
      <c r="Y258" s="158"/>
      <c r="Z258" s="158"/>
      <c r="AA258" s="137" t="str">
        <f t="shared" ca="1" si="28"/>
        <v/>
      </c>
      <c r="AB258" s="137" t="str">
        <f t="shared" ca="1" si="24"/>
        <v/>
      </c>
      <c r="AC258" s="160" t="str">
        <f t="shared" ca="1" si="25"/>
        <v/>
      </c>
      <c r="AD258" s="159" t="str">
        <f t="shared" ca="1" si="26"/>
        <v/>
      </c>
      <c r="AE258" s="161"/>
      <c r="AF258" s="161"/>
      <c r="AG258" s="161"/>
      <c r="AH258" s="137"/>
      <c r="AI258" s="164" t="str">
        <f t="shared" si="29"/>
        <v/>
      </c>
      <c r="AJ258" s="164" t="str">
        <f>IF(AND(OpenPendingCases[[#This Row],[Sale Status	]]="Open Sale",OpenPendingCases[[#This Row],[Potential Same Month]]="High"),TEXT(OpenPendingCases[[#This Row],[Request Entry Date]], "[$-en-us]mmmm"),"")</f>
        <v/>
      </c>
      <c r="AK258" s="165" t="str">
        <f>IFERROR(VALUE(SUBSTITUTE(OpenPendingCases[[#This Row],[Price]]," AED","")),"")</f>
        <v/>
      </c>
      <c r="AL258" s="165" t="str">
        <f>IFERROR(VALUE(LEFT(OpenPendingCases[[#This Row],[Price]],FIND(" ",OpenPendingCases[[#This Row],[Price]])-1)),"")</f>
        <v/>
      </c>
      <c r="AM258" s="165" t="str">
        <f>IFERROR(VALUE(_xlfn.TEXTBEFORE(OpenPendingCases[[#This Row],[Price]]," AED")),"")</f>
        <v/>
      </c>
      <c r="AN258" s="165"/>
    </row>
    <row r="259" spans="3:40" ht="18" hidden="1" x14ac:dyDescent="0.35">
      <c r="C259" s="134"/>
      <c r="D259" s="137" t="str">
        <f>IF($U259="Open Sale", IF(MAX($D$4:D258)+1=0, "", MAX($D$4:D258)+1), "")</f>
        <v/>
      </c>
      <c r="E259" s="137" t="str">
        <f>IF($U259="Pending Allocation", IF(MAX($E$4:E258)+1=0, "", MAX($E$4:E258)+1), "")</f>
        <v/>
      </c>
      <c r="F259" s="137"/>
      <c r="G259" s="137"/>
      <c r="H259" s="150"/>
      <c r="I259" s="150"/>
      <c r="J259" s="68" t="str">
        <f>IF(OpenPendingCases[[#This Row],[Timepiece Reference ]]="", "", IF(_xlfn.XLOOKUP(OpenPendingCases[[#This Row],[Timepiece Reference ]], Table1[[Timepiece Reference ]], Table1[CRC STOCK], "Not Found")="YES", "CRC Stock", "Boutique Stock"))</f>
        <v/>
      </c>
      <c r="K259" s="137" t="str">
        <f>IF(OpenPendingCases[[#This Row],[Timepiece Reference ]]="", "", IF(_xlfn.XLOOKUP(OpenPendingCases[[#This Row],[Timepiece Reference ]], Table1[[Timepiece Reference ]], Table1[CRC STOCK], "Not Found")="YES", "CRC Stock", "Boutique Stock"))</f>
        <v/>
      </c>
      <c r="L259" s="143"/>
      <c r="M259" s="141"/>
      <c r="N259" s="137"/>
      <c r="O259" s="134"/>
      <c r="P259" s="94" t="str">
        <f>IFERROR(VLOOKUP(TRIM(O259), Collection!$B$2:$D$1001, 2, FALSE), "")</f>
        <v/>
      </c>
      <c r="Q259" s="190" t="str">
        <f>IFERROR(VLOOKUP(TRIM(O259), Collection!$B$2:$D$1001, 3, FALSE), "")</f>
        <v/>
      </c>
      <c r="R259" s="153" t="str">
        <f t="shared" ref="R259:R322" si="30">IFERROR(VALUE(SUBSTITUTE(SUBSTITUTE(Q259, "Price", ""), "AED", "")), "")</f>
        <v/>
      </c>
      <c r="S259" s="151"/>
      <c r="T259" s="158"/>
      <c r="U259" s="137"/>
      <c r="V259" s="137"/>
      <c r="W259" s="156" t="str">
        <f t="shared" si="27"/>
        <v/>
      </c>
      <c r="X259" s="157"/>
      <c r="Y259" s="158"/>
      <c r="Z259" s="158"/>
      <c r="AA259" s="137" t="str">
        <f t="shared" ca="1" si="28"/>
        <v/>
      </c>
      <c r="AB259" s="137" t="str">
        <f t="shared" ref="AB259:AB322" ca="1" si="31">IF(H259="", "", IF(OR(U259="Pending", U259="Pending Allocation"), CONCATENATE(TODAY()-H259, " Days"), IF(U259="Closed", "", "")))</f>
        <v/>
      </c>
      <c r="AC259" s="160" t="str">
        <f t="shared" ref="AC259:AC322" ca="1" si="32">IF(U259="Pending Allocation", IF(I259="", "", TODAY()-I259), "")</f>
        <v/>
      </c>
      <c r="AD259" s="159" t="str">
        <f t="shared" ref="AD259:AD322" ca="1" si="33">IF(U259="Open Sale", TEXT(TODAY()-I259, "0"),
   IF(U259="Pending", "",
      IF(U259="Closed Sale", "", "")))</f>
        <v/>
      </c>
      <c r="AE259" s="161"/>
      <c r="AF259" s="161"/>
      <c r="AG259" s="161"/>
      <c r="AH259" s="137"/>
      <c r="AI259" s="164" t="str">
        <f t="shared" si="29"/>
        <v/>
      </c>
      <c r="AJ259" s="164" t="str">
        <f>IF(AND(OpenPendingCases[[#This Row],[Sale Status	]]="Open Sale",OpenPendingCases[[#This Row],[Potential Same Month]]="High"),TEXT(OpenPendingCases[[#This Row],[Request Entry Date]], "[$-en-us]mmmm"),"")</f>
        <v/>
      </c>
      <c r="AK259" s="165" t="str">
        <f>IFERROR(VALUE(SUBSTITUTE(OpenPendingCases[[#This Row],[Price]]," AED","")),"")</f>
        <v/>
      </c>
      <c r="AL259" s="165" t="str">
        <f>IFERROR(VALUE(LEFT(OpenPendingCases[[#This Row],[Price]],FIND(" ",OpenPendingCases[[#This Row],[Price]])-1)),"")</f>
        <v/>
      </c>
      <c r="AM259" s="165" t="str">
        <f>IFERROR(VALUE(_xlfn.TEXTBEFORE(OpenPendingCases[[#This Row],[Price]]," AED")),"")</f>
        <v/>
      </c>
      <c r="AN259" s="165"/>
    </row>
    <row r="260" spans="3:40" ht="18" hidden="1" x14ac:dyDescent="0.35">
      <c r="C260" s="134"/>
      <c r="D260" s="137" t="str">
        <f>IF($U260="Open Sale", IF(MAX($D$4:D259)+1=0, "", MAX($D$4:D259)+1), "")</f>
        <v/>
      </c>
      <c r="E260" s="137" t="str">
        <f>IF($U260="Pending Allocation", IF(MAX($E$4:E259)+1=0, "", MAX($E$4:E259)+1), "")</f>
        <v/>
      </c>
      <c r="F260" s="137"/>
      <c r="G260" s="137"/>
      <c r="H260" s="150"/>
      <c r="I260" s="150"/>
      <c r="J260" s="68" t="str">
        <f>IF(OpenPendingCases[[#This Row],[Timepiece Reference ]]="", "", IF(_xlfn.XLOOKUP(OpenPendingCases[[#This Row],[Timepiece Reference ]], Table1[[Timepiece Reference ]], Table1[CRC STOCK], "Not Found")="YES", "CRC Stock", "Boutique Stock"))</f>
        <v/>
      </c>
      <c r="K260" s="137" t="str">
        <f>IF(OpenPendingCases[[#This Row],[Timepiece Reference ]]="", "", IF(_xlfn.XLOOKUP(OpenPendingCases[[#This Row],[Timepiece Reference ]], Table1[[Timepiece Reference ]], Table1[CRC STOCK], "Not Found")="YES", "CRC Stock", "Boutique Stock"))</f>
        <v/>
      </c>
      <c r="L260" s="143"/>
      <c r="M260" s="141"/>
      <c r="N260" s="137"/>
      <c r="O260" s="134"/>
      <c r="P260" s="94" t="str">
        <f>IFERROR(VLOOKUP(TRIM(O260), Collection!$B$2:$D$1001, 2, FALSE), "")</f>
        <v/>
      </c>
      <c r="Q260" s="190" t="str">
        <f>IFERROR(VLOOKUP(TRIM(O260), Collection!$B$2:$D$1001, 3, FALSE), "")</f>
        <v/>
      </c>
      <c r="R260" s="153" t="str">
        <f t="shared" si="30"/>
        <v/>
      </c>
      <c r="S260" s="151"/>
      <c r="T260" s="158"/>
      <c r="U260" s="137"/>
      <c r="V260" s="137"/>
      <c r="W260" s="156" t="str">
        <f t="shared" ref="W260:W323" si="34" xml:space="preserve"> IF(Z260 = "",
     "",
     TEXT(Z260, "mmmm"))</f>
        <v/>
      </c>
      <c r="X260" s="157"/>
      <c r="Y260" s="158"/>
      <c r="Z260" s="158"/>
      <c r="AA260" s="137" t="str">
        <f t="shared" ref="AA260:AA323" ca="1" si="35">IF(H260="", "", IF(U260="Open Sale", IF(TODAY()-H260=0, "0 Days", TEXT(TODAY()-H260, "0") &amp; " Days"), IF(U260="Closed Sale", AA260, "")))</f>
        <v/>
      </c>
      <c r="AB260" s="137" t="str">
        <f t="shared" ca="1" si="31"/>
        <v/>
      </c>
      <c r="AC260" s="160" t="str">
        <f t="shared" ca="1" si="32"/>
        <v/>
      </c>
      <c r="AD260" s="159" t="str">
        <f t="shared" ca="1" si="33"/>
        <v/>
      </c>
      <c r="AE260" s="161"/>
      <c r="AF260" s="161"/>
      <c r="AG260" s="161"/>
      <c r="AH260" s="137"/>
      <c r="AI260" s="164" t="str">
        <f t="shared" si="29"/>
        <v/>
      </c>
      <c r="AJ260" s="164" t="str">
        <f>IF(AND(OpenPendingCases[[#This Row],[Sale Status	]]="Open Sale",OpenPendingCases[[#This Row],[Potential Same Month]]="High"),TEXT(OpenPendingCases[[#This Row],[Request Entry Date]], "[$-en-us]mmmm"),"")</f>
        <v/>
      </c>
      <c r="AK260" s="165" t="str">
        <f>IFERROR(VALUE(SUBSTITUTE(OpenPendingCases[[#This Row],[Price]]," AED","")),"")</f>
        <v/>
      </c>
      <c r="AL260" s="165" t="str">
        <f>IFERROR(VALUE(LEFT(OpenPendingCases[[#This Row],[Price]],FIND(" ",OpenPendingCases[[#This Row],[Price]])-1)),"")</f>
        <v/>
      </c>
      <c r="AM260" s="165" t="str">
        <f>IFERROR(VALUE(_xlfn.TEXTBEFORE(OpenPendingCases[[#This Row],[Price]]," AED")),"")</f>
        <v/>
      </c>
      <c r="AN260" s="165"/>
    </row>
    <row r="261" spans="3:40" ht="18" hidden="1" x14ac:dyDescent="0.35">
      <c r="C261" s="134"/>
      <c r="D261" s="137" t="str">
        <f>IF($U261="Open Sale", IF(MAX($D$4:D260)+1=0, "", MAX($D$4:D260)+1), "")</f>
        <v/>
      </c>
      <c r="E261" s="137" t="str">
        <f>IF($U261="Pending Allocation", IF(MAX($E$4:E260)+1=0, "", MAX($E$4:E260)+1), "")</f>
        <v/>
      </c>
      <c r="F261" s="137"/>
      <c r="G261" s="137"/>
      <c r="H261" s="150"/>
      <c r="I261" s="150"/>
      <c r="J261" s="68" t="str">
        <f>IF(OpenPendingCases[[#This Row],[Timepiece Reference ]]="", "", IF(_xlfn.XLOOKUP(OpenPendingCases[[#This Row],[Timepiece Reference ]], Table1[[Timepiece Reference ]], Table1[CRC STOCK], "Not Found")="YES", "CRC Stock", "Boutique Stock"))</f>
        <v/>
      </c>
      <c r="K261" s="137" t="str">
        <f>IF(OpenPendingCases[[#This Row],[Timepiece Reference ]]="", "", IF(_xlfn.XLOOKUP(OpenPendingCases[[#This Row],[Timepiece Reference ]], Table1[[Timepiece Reference ]], Table1[CRC STOCK], "Not Found")="YES", "CRC Stock", "Boutique Stock"))</f>
        <v/>
      </c>
      <c r="L261" s="143"/>
      <c r="M261" s="141"/>
      <c r="N261" s="137"/>
      <c r="O261" s="134"/>
      <c r="P261" s="94" t="str">
        <f>IFERROR(VLOOKUP(TRIM(O261), Collection!$B$2:$D$1001, 2, FALSE), "")</f>
        <v/>
      </c>
      <c r="Q261" s="190" t="str">
        <f>IFERROR(VLOOKUP(TRIM(O261), Collection!$B$2:$D$1001, 3, FALSE), "")</f>
        <v/>
      </c>
      <c r="R261" s="153" t="str">
        <f t="shared" si="30"/>
        <v/>
      </c>
      <c r="S261" s="151"/>
      <c r="T261" s="158"/>
      <c r="U261" s="137"/>
      <c r="V261" s="137"/>
      <c r="W261" s="156" t="str">
        <f t="shared" si="34"/>
        <v/>
      </c>
      <c r="X261" s="157"/>
      <c r="Y261" s="158"/>
      <c r="Z261" s="158"/>
      <c r="AA261" s="137" t="str">
        <f t="shared" ca="1" si="35"/>
        <v/>
      </c>
      <c r="AB261" s="137" t="str">
        <f t="shared" ca="1" si="31"/>
        <v/>
      </c>
      <c r="AC261" s="160" t="str">
        <f t="shared" ca="1" si="32"/>
        <v/>
      </c>
      <c r="AD261" s="159" t="str">
        <f t="shared" ca="1" si="33"/>
        <v/>
      </c>
      <c r="AE261" s="161"/>
      <c r="AF261" s="161"/>
      <c r="AG261" s="161"/>
      <c r="AH261" s="137"/>
      <c r="AI261" s="164" t="str">
        <f t="shared" si="29"/>
        <v/>
      </c>
      <c r="AJ261" s="164" t="str">
        <f>IF(AND(OpenPendingCases[[#This Row],[Sale Status	]]="Open Sale",OpenPendingCases[[#This Row],[Potential Same Month]]="High"),TEXT(OpenPendingCases[[#This Row],[Request Entry Date]], "[$-en-us]mmmm"),"")</f>
        <v/>
      </c>
      <c r="AK261" s="165" t="str">
        <f>IFERROR(VALUE(SUBSTITUTE(OpenPendingCases[[#This Row],[Price]]," AED","")),"")</f>
        <v/>
      </c>
      <c r="AL261" s="165" t="str">
        <f>IFERROR(VALUE(LEFT(OpenPendingCases[[#This Row],[Price]],FIND(" ",OpenPendingCases[[#This Row],[Price]])-1)),"")</f>
        <v/>
      </c>
      <c r="AM261" s="165" t="str">
        <f>IFERROR(VALUE(_xlfn.TEXTBEFORE(OpenPendingCases[[#This Row],[Price]]," AED")),"")</f>
        <v/>
      </c>
      <c r="AN261" s="165"/>
    </row>
    <row r="262" spans="3:40" ht="18" hidden="1" x14ac:dyDescent="0.35">
      <c r="C262" s="134"/>
      <c r="D262" s="137" t="str">
        <f>IF($U262="Open Sale", IF(MAX($D$4:D261)+1=0, "", MAX($D$4:D261)+1), "")</f>
        <v/>
      </c>
      <c r="E262" s="137" t="str">
        <f>IF($U262="Pending Allocation", IF(MAX($E$4:E261)+1=0, "", MAX($E$4:E261)+1), "")</f>
        <v/>
      </c>
      <c r="F262" s="137"/>
      <c r="G262" s="137"/>
      <c r="H262" s="150"/>
      <c r="I262" s="150"/>
      <c r="J262" s="68" t="str">
        <f>IF(OpenPendingCases[[#This Row],[Timepiece Reference ]]="", "", IF(_xlfn.XLOOKUP(OpenPendingCases[[#This Row],[Timepiece Reference ]], Table1[[Timepiece Reference ]], Table1[CRC STOCK], "Not Found")="YES", "CRC Stock", "Boutique Stock"))</f>
        <v/>
      </c>
      <c r="K262" s="137" t="str">
        <f>IF(OpenPendingCases[[#This Row],[Timepiece Reference ]]="", "", IF(_xlfn.XLOOKUP(OpenPendingCases[[#This Row],[Timepiece Reference ]], Table1[[Timepiece Reference ]], Table1[CRC STOCK], "Not Found")="YES", "CRC Stock", "Boutique Stock"))</f>
        <v/>
      </c>
      <c r="L262" s="143"/>
      <c r="M262" s="141"/>
      <c r="N262" s="137"/>
      <c r="O262" s="134"/>
      <c r="P262" s="94" t="str">
        <f>IFERROR(VLOOKUP(TRIM(O262), Collection!$B$2:$D$1001, 2, FALSE), "")</f>
        <v/>
      </c>
      <c r="Q262" s="190" t="str">
        <f>IFERROR(VLOOKUP(TRIM(O262), Collection!$B$2:$D$1001, 3, FALSE), "")</f>
        <v/>
      </c>
      <c r="R262" s="153" t="str">
        <f t="shared" si="30"/>
        <v/>
      </c>
      <c r="S262" s="151"/>
      <c r="T262" s="158"/>
      <c r="U262" s="137"/>
      <c r="V262" s="137"/>
      <c r="W262" s="156" t="str">
        <f t="shared" si="34"/>
        <v/>
      </c>
      <c r="X262" s="157"/>
      <c r="Y262" s="158"/>
      <c r="Z262" s="158"/>
      <c r="AA262" s="137" t="str">
        <f t="shared" ca="1" si="35"/>
        <v/>
      </c>
      <c r="AB262" s="137" t="str">
        <f t="shared" ca="1" si="31"/>
        <v/>
      </c>
      <c r="AC262" s="160" t="str">
        <f t="shared" ca="1" si="32"/>
        <v/>
      </c>
      <c r="AD262" s="159" t="str">
        <f t="shared" ca="1" si="33"/>
        <v/>
      </c>
      <c r="AE262" s="161"/>
      <c r="AF262" s="161"/>
      <c r="AG262" s="161"/>
      <c r="AH262" s="137"/>
      <c r="AI262" s="164" t="str">
        <f t="shared" si="29"/>
        <v/>
      </c>
      <c r="AJ262" s="164" t="str">
        <f>IF(AND(OpenPendingCases[[#This Row],[Sale Status	]]="Open Sale",OpenPendingCases[[#This Row],[Potential Same Month]]="High"),TEXT(OpenPendingCases[[#This Row],[Request Entry Date]], "[$-en-us]mmmm"),"")</f>
        <v/>
      </c>
      <c r="AK262" s="165" t="str">
        <f>IFERROR(VALUE(SUBSTITUTE(OpenPendingCases[[#This Row],[Price]]," AED","")),"")</f>
        <v/>
      </c>
      <c r="AL262" s="165" t="str">
        <f>IFERROR(VALUE(LEFT(OpenPendingCases[[#This Row],[Price]],FIND(" ",OpenPendingCases[[#This Row],[Price]])-1)),"")</f>
        <v/>
      </c>
      <c r="AM262" s="165" t="str">
        <f>IFERROR(VALUE(_xlfn.TEXTBEFORE(OpenPendingCases[[#This Row],[Price]]," AED")),"")</f>
        <v/>
      </c>
      <c r="AN262" s="165"/>
    </row>
    <row r="263" spans="3:40" ht="18" hidden="1" x14ac:dyDescent="0.35">
      <c r="C263" s="134"/>
      <c r="D263" s="137" t="str">
        <f>IF($U263="Open Sale", IF(MAX($D$4:D262)+1=0, "", MAX($D$4:D262)+1), "")</f>
        <v/>
      </c>
      <c r="E263" s="137" t="str">
        <f>IF($U263="Pending Allocation", IF(MAX($E$4:E262)+1=0, "", MAX($E$4:E262)+1), "")</f>
        <v/>
      </c>
      <c r="F263" s="137"/>
      <c r="G263" s="137"/>
      <c r="H263" s="150"/>
      <c r="I263" s="150"/>
      <c r="J263" s="68" t="str">
        <f>IF(OpenPendingCases[[#This Row],[Timepiece Reference ]]="", "", IF(_xlfn.XLOOKUP(OpenPendingCases[[#This Row],[Timepiece Reference ]], Table1[[Timepiece Reference ]], Table1[CRC STOCK], "Not Found")="YES", "CRC Stock", "Boutique Stock"))</f>
        <v/>
      </c>
      <c r="K263" s="137" t="str">
        <f>IF(OpenPendingCases[[#This Row],[Timepiece Reference ]]="", "", IF(_xlfn.XLOOKUP(OpenPendingCases[[#This Row],[Timepiece Reference ]], Table1[[Timepiece Reference ]], Table1[CRC STOCK], "Not Found")="YES", "CRC Stock", "Boutique Stock"))</f>
        <v/>
      </c>
      <c r="L263" s="143"/>
      <c r="M263" s="141"/>
      <c r="N263" s="137"/>
      <c r="O263" s="134"/>
      <c r="P263" s="94" t="str">
        <f>IFERROR(VLOOKUP(TRIM(O263), Collection!$B$2:$D$1001, 2, FALSE), "")</f>
        <v/>
      </c>
      <c r="Q263" s="190" t="str">
        <f>IFERROR(VLOOKUP(TRIM(O263), Collection!$B$2:$D$1001, 3, FALSE), "")</f>
        <v/>
      </c>
      <c r="R263" s="153" t="str">
        <f t="shared" si="30"/>
        <v/>
      </c>
      <c r="S263" s="151"/>
      <c r="T263" s="158"/>
      <c r="U263" s="137"/>
      <c r="V263" s="137"/>
      <c r="W263" s="156" t="str">
        <f t="shared" si="34"/>
        <v/>
      </c>
      <c r="X263" s="157"/>
      <c r="Y263" s="158"/>
      <c r="Z263" s="158"/>
      <c r="AA263" s="137" t="str">
        <f t="shared" ca="1" si="35"/>
        <v/>
      </c>
      <c r="AB263" s="137" t="str">
        <f t="shared" ca="1" si="31"/>
        <v/>
      </c>
      <c r="AC263" s="160" t="str">
        <f t="shared" ca="1" si="32"/>
        <v/>
      </c>
      <c r="AD263" s="159" t="str">
        <f t="shared" ca="1" si="33"/>
        <v/>
      </c>
      <c r="AE263" s="161"/>
      <c r="AF263" s="161"/>
      <c r="AG263" s="161"/>
      <c r="AH263" s="137"/>
      <c r="AI263" s="164" t="str">
        <f t="shared" si="29"/>
        <v/>
      </c>
      <c r="AJ263" s="164" t="str">
        <f>IF(AND(OpenPendingCases[[#This Row],[Sale Status	]]="Open Sale",OpenPendingCases[[#This Row],[Potential Same Month]]="High"),TEXT(OpenPendingCases[[#This Row],[Request Entry Date]], "[$-en-us]mmmm"),"")</f>
        <v/>
      </c>
      <c r="AK263" s="165" t="str">
        <f>IFERROR(VALUE(SUBSTITUTE(OpenPendingCases[[#This Row],[Price]]," AED","")),"")</f>
        <v/>
      </c>
      <c r="AL263" s="165" t="str">
        <f>IFERROR(VALUE(LEFT(OpenPendingCases[[#This Row],[Price]],FIND(" ",OpenPendingCases[[#This Row],[Price]])-1)),"")</f>
        <v/>
      </c>
      <c r="AM263" s="165" t="str">
        <f>IFERROR(VALUE(_xlfn.TEXTBEFORE(OpenPendingCases[[#This Row],[Price]]," AED")),"")</f>
        <v/>
      </c>
      <c r="AN263" s="165"/>
    </row>
    <row r="264" spans="3:40" ht="18" hidden="1" x14ac:dyDescent="0.35">
      <c r="C264" s="134"/>
      <c r="D264" s="137" t="str">
        <f>IF($U264="Open Sale", IF(MAX($D$4:D263)+1=0, "", MAX($D$4:D263)+1), "")</f>
        <v/>
      </c>
      <c r="E264" s="137" t="str">
        <f>IF($U264="Pending Allocation", IF(MAX($E$4:E263)+1=0, "", MAX($E$4:E263)+1), "")</f>
        <v/>
      </c>
      <c r="F264" s="137"/>
      <c r="G264" s="137"/>
      <c r="H264" s="150"/>
      <c r="I264" s="150"/>
      <c r="J264" s="68" t="str">
        <f>IF(OpenPendingCases[[#This Row],[Timepiece Reference ]]="", "", IF(_xlfn.XLOOKUP(OpenPendingCases[[#This Row],[Timepiece Reference ]], Table1[[Timepiece Reference ]], Table1[CRC STOCK], "Not Found")="YES", "CRC Stock", "Boutique Stock"))</f>
        <v/>
      </c>
      <c r="K264" s="137" t="str">
        <f>IF(OpenPendingCases[[#This Row],[Timepiece Reference ]]="", "", IF(_xlfn.XLOOKUP(OpenPendingCases[[#This Row],[Timepiece Reference ]], Table1[[Timepiece Reference ]], Table1[CRC STOCK], "Not Found")="YES", "CRC Stock", "Boutique Stock"))</f>
        <v/>
      </c>
      <c r="L264" s="143"/>
      <c r="M264" s="141"/>
      <c r="N264" s="137"/>
      <c r="O264" s="134"/>
      <c r="P264" s="94" t="str">
        <f>IFERROR(VLOOKUP(TRIM(O264), Collection!$B$2:$D$1001, 2, FALSE), "")</f>
        <v/>
      </c>
      <c r="Q264" s="190" t="str">
        <f>IFERROR(VLOOKUP(TRIM(O264), Collection!$B$2:$D$1001, 3, FALSE), "")</f>
        <v/>
      </c>
      <c r="R264" s="153" t="str">
        <f t="shared" si="30"/>
        <v/>
      </c>
      <c r="S264" s="151"/>
      <c r="T264" s="158"/>
      <c r="U264" s="137"/>
      <c r="V264" s="137"/>
      <c r="W264" s="156" t="str">
        <f t="shared" si="34"/>
        <v/>
      </c>
      <c r="X264" s="157"/>
      <c r="Y264" s="158"/>
      <c r="Z264" s="158"/>
      <c r="AA264" s="137" t="str">
        <f t="shared" ca="1" si="35"/>
        <v/>
      </c>
      <c r="AB264" s="137" t="str">
        <f t="shared" ca="1" si="31"/>
        <v/>
      </c>
      <c r="AC264" s="160" t="str">
        <f t="shared" ca="1" si="32"/>
        <v/>
      </c>
      <c r="AD264" s="159" t="str">
        <f t="shared" ca="1" si="33"/>
        <v/>
      </c>
      <c r="AE264" s="161"/>
      <c r="AF264" s="161"/>
      <c r="AG264" s="161"/>
      <c r="AH264" s="137"/>
      <c r="AI264" s="164" t="str">
        <f t="shared" si="29"/>
        <v/>
      </c>
      <c r="AJ264" s="164" t="str">
        <f>IF(AND(OpenPendingCases[[#This Row],[Sale Status	]]="Open Sale",OpenPendingCases[[#This Row],[Potential Same Month]]="High"),TEXT(OpenPendingCases[[#This Row],[Request Entry Date]], "[$-en-us]mmmm"),"")</f>
        <v/>
      </c>
      <c r="AK264" s="165" t="str">
        <f>IFERROR(VALUE(SUBSTITUTE(OpenPendingCases[[#This Row],[Price]]," AED","")),"")</f>
        <v/>
      </c>
      <c r="AL264" s="165" t="str">
        <f>IFERROR(VALUE(LEFT(OpenPendingCases[[#This Row],[Price]],FIND(" ",OpenPendingCases[[#This Row],[Price]])-1)),"")</f>
        <v/>
      </c>
      <c r="AM264" s="165" t="str">
        <f>IFERROR(VALUE(_xlfn.TEXTBEFORE(OpenPendingCases[[#This Row],[Price]]," AED")),"")</f>
        <v/>
      </c>
      <c r="AN264" s="165"/>
    </row>
    <row r="265" spans="3:40" ht="18" hidden="1" x14ac:dyDescent="0.35">
      <c r="C265" s="134"/>
      <c r="D265" s="137" t="str">
        <f>IF($U265="Open Sale", IF(MAX($D$4:D264)+1=0, "", MAX($D$4:D264)+1), "")</f>
        <v/>
      </c>
      <c r="E265" s="137" t="str">
        <f>IF($U265="Pending Allocation", IF(MAX($E$4:E264)+1=0, "", MAX($E$4:E264)+1), "")</f>
        <v/>
      </c>
      <c r="F265" s="137"/>
      <c r="G265" s="137"/>
      <c r="H265" s="150"/>
      <c r="I265" s="150"/>
      <c r="J265" s="68" t="str">
        <f>IF(OpenPendingCases[[#This Row],[Timepiece Reference ]]="", "", IF(_xlfn.XLOOKUP(OpenPendingCases[[#This Row],[Timepiece Reference ]], Table1[[Timepiece Reference ]], Table1[CRC STOCK], "Not Found")="YES", "CRC Stock", "Boutique Stock"))</f>
        <v/>
      </c>
      <c r="K265" s="137" t="str">
        <f>IF(OpenPendingCases[[#This Row],[Timepiece Reference ]]="", "", IF(_xlfn.XLOOKUP(OpenPendingCases[[#This Row],[Timepiece Reference ]], Table1[[Timepiece Reference ]], Table1[CRC STOCK], "Not Found")="YES", "CRC Stock", "Boutique Stock"))</f>
        <v/>
      </c>
      <c r="L265" s="143"/>
      <c r="M265" s="141"/>
      <c r="N265" s="137"/>
      <c r="O265" s="134"/>
      <c r="P265" s="94" t="str">
        <f>IFERROR(VLOOKUP(TRIM(O265), Collection!$B$2:$D$1001, 2, FALSE), "")</f>
        <v/>
      </c>
      <c r="Q265" s="190" t="str">
        <f>IFERROR(VLOOKUP(TRIM(O265), Collection!$B$2:$D$1001, 3, FALSE), "")</f>
        <v/>
      </c>
      <c r="R265" s="153" t="str">
        <f t="shared" si="30"/>
        <v/>
      </c>
      <c r="S265" s="151"/>
      <c r="T265" s="158"/>
      <c r="U265" s="137"/>
      <c r="V265" s="137"/>
      <c r="W265" s="156" t="str">
        <f t="shared" si="34"/>
        <v/>
      </c>
      <c r="X265" s="157"/>
      <c r="Y265" s="158"/>
      <c r="Z265" s="158"/>
      <c r="AA265" s="137" t="str">
        <f t="shared" ca="1" si="35"/>
        <v/>
      </c>
      <c r="AB265" s="137" t="str">
        <f t="shared" ca="1" si="31"/>
        <v/>
      </c>
      <c r="AC265" s="160" t="str">
        <f t="shared" ca="1" si="32"/>
        <v/>
      </c>
      <c r="AD265" s="159" t="str">
        <f t="shared" ca="1" si="33"/>
        <v/>
      </c>
      <c r="AE265" s="161"/>
      <c r="AF265" s="161"/>
      <c r="AG265" s="161"/>
      <c r="AH265" s="137"/>
      <c r="AI265" s="164" t="str">
        <f t="shared" si="29"/>
        <v/>
      </c>
      <c r="AJ265" s="164" t="str">
        <f>IF(AND(OpenPendingCases[[#This Row],[Sale Status	]]="Open Sale",OpenPendingCases[[#This Row],[Potential Same Month]]="High"),TEXT(OpenPendingCases[[#This Row],[Request Entry Date]], "[$-en-us]mmmm"),"")</f>
        <v/>
      </c>
      <c r="AK265" s="165" t="str">
        <f>IFERROR(VALUE(SUBSTITUTE(OpenPendingCases[[#This Row],[Price]]," AED","")),"")</f>
        <v/>
      </c>
      <c r="AL265" s="165" t="str">
        <f>IFERROR(VALUE(LEFT(OpenPendingCases[[#This Row],[Price]],FIND(" ",OpenPendingCases[[#This Row],[Price]])-1)),"")</f>
        <v/>
      </c>
      <c r="AM265" s="165" t="str">
        <f>IFERROR(VALUE(_xlfn.TEXTBEFORE(OpenPendingCases[[#This Row],[Price]]," AED")),"")</f>
        <v/>
      </c>
      <c r="AN265" s="165"/>
    </row>
    <row r="266" spans="3:40" ht="18" hidden="1" x14ac:dyDescent="0.35">
      <c r="C266" s="134"/>
      <c r="D266" s="137" t="str">
        <f>IF($U266="Open Sale", IF(MAX($D$4:D265)+1=0, "", MAX($D$4:D265)+1), "")</f>
        <v/>
      </c>
      <c r="E266" s="137" t="str">
        <f>IF($U266="Pending Allocation", IF(MAX($E$4:E265)+1=0, "", MAX($E$4:E265)+1), "")</f>
        <v/>
      </c>
      <c r="F266" s="137"/>
      <c r="G266" s="137"/>
      <c r="H266" s="150"/>
      <c r="I266" s="150"/>
      <c r="J266" s="68" t="str">
        <f>IF(OpenPendingCases[[#This Row],[Timepiece Reference ]]="", "", IF(_xlfn.XLOOKUP(OpenPendingCases[[#This Row],[Timepiece Reference ]], Table1[[Timepiece Reference ]], Table1[CRC STOCK], "Not Found")="YES", "CRC Stock", "Boutique Stock"))</f>
        <v/>
      </c>
      <c r="K266" s="137" t="str">
        <f>IF(OpenPendingCases[[#This Row],[Timepiece Reference ]]="", "", IF(_xlfn.XLOOKUP(OpenPendingCases[[#This Row],[Timepiece Reference ]], Table1[[Timepiece Reference ]], Table1[CRC STOCK], "Not Found")="YES", "CRC Stock", "Boutique Stock"))</f>
        <v/>
      </c>
      <c r="L266" s="143"/>
      <c r="M266" s="141"/>
      <c r="N266" s="137"/>
      <c r="O266" s="134"/>
      <c r="P266" s="94" t="str">
        <f>IFERROR(VLOOKUP(TRIM(O266), Collection!$B$2:$D$1001, 2, FALSE), "")</f>
        <v/>
      </c>
      <c r="Q266" s="190" t="str">
        <f>IFERROR(VLOOKUP(TRIM(O266), Collection!$B$2:$D$1001, 3, FALSE), "")</f>
        <v/>
      </c>
      <c r="R266" s="153" t="str">
        <f t="shared" si="30"/>
        <v/>
      </c>
      <c r="S266" s="151"/>
      <c r="T266" s="158"/>
      <c r="U266" s="137"/>
      <c r="V266" s="137"/>
      <c r="W266" s="156" t="str">
        <f t="shared" si="34"/>
        <v/>
      </c>
      <c r="X266" s="157"/>
      <c r="Y266" s="158"/>
      <c r="Z266" s="158"/>
      <c r="AA266" s="137" t="str">
        <f t="shared" ca="1" si="35"/>
        <v/>
      </c>
      <c r="AB266" s="137" t="str">
        <f t="shared" ca="1" si="31"/>
        <v/>
      </c>
      <c r="AC266" s="160" t="str">
        <f t="shared" ca="1" si="32"/>
        <v/>
      </c>
      <c r="AD266" s="159" t="str">
        <f t="shared" ca="1" si="33"/>
        <v/>
      </c>
      <c r="AE266" s="161"/>
      <c r="AF266" s="161"/>
      <c r="AG266" s="161"/>
      <c r="AH266" s="137"/>
      <c r="AI266" s="164" t="str">
        <f t="shared" si="29"/>
        <v/>
      </c>
      <c r="AJ266" s="164" t="str">
        <f>IF(AND(OpenPendingCases[[#This Row],[Sale Status	]]="Open Sale",OpenPendingCases[[#This Row],[Potential Same Month]]="High"),TEXT(OpenPendingCases[[#This Row],[Request Entry Date]], "[$-en-us]mmmm"),"")</f>
        <v/>
      </c>
      <c r="AK266" s="165" t="str">
        <f>IFERROR(VALUE(SUBSTITUTE(OpenPendingCases[[#This Row],[Price]]," AED","")),"")</f>
        <v/>
      </c>
      <c r="AL266" s="165" t="str">
        <f>IFERROR(VALUE(LEFT(OpenPendingCases[[#This Row],[Price]],FIND(" ",OpenPendingCases[[#This Row],[Price]])-1)),"")</f>
        <v/>
      </c>
      <c r="AM266" s="165" t="str">
        <f>IFERROR(VALUE(_xlfn.TEXTBEFORE(OpenPendingCases[[#This Row],[Price]]," AED")),"")</f>
        <v/>
      </c>
      <c r="AN266" s="165"/>
    </row>
    <row r="267" spans="3:40" ht="18" hidden="1" x14ac:dyDescent="0.35">
      <c r="C267" s="134"/>
      <c r="D267" s="137" t="str">
        <f>IF($U267="Open Sale", IF(MAX($D$4:D266)+1=0, "", MAX($D$4:D266)+1), "")</f>
        <v/>
      </c>
      <c r="E267" s="137" t="str">
        <f>IF($U267="Pending Allocation", IF(MAX($E$4:E266)+1=0, "", MAX($E$4:E266)+1), "")</f>
        <v/>
      </c>
      <c r="F267" s="137"/>
      <c r="G267" s="137"/>
      <c r="H267" s="150"/>
      <c r="I267" s="150"/>
      <c r="J267" s="68" t="str">
        <f>IF(OpenPendingCases[[#This Row],[Timepiece Reference ]]="", "", IF(_xlfn.XLOOKUP(OpenPendingCases[[#This Row],[Timepiece Reference ]], Table1[[Timepiece Reference ]], Table1[CRC STOCK], "Not Found")="YES", "CRC Stock", "Boutique Stock"))</f>
        <v/>
      </c>
      <c r="K267" s="137" t="str">
        <f>IF(OpenPendingCases[[#This Row],[Timepiece Reference ]]="", "", IF(_xlfn.XLOOKUP(OpenPendingCases[[#This Row],[Timepiece Reference ]], Table1[[Timepiece Reference ]], Table1[CRC STOCK], "Not Found")="YES", "CRC Stock", "Boutique Stock"))</f>
        <v/>
      </c>
      <c r="L267" s="143"/>
      <c r="M267" s="141"/>
      <c r="N267" s="137"/>
      <c r="O267" s="134"/>
      <c r="P267" s="94" t="str">
        <f>IFERROR(VLOOKUP(TRIM(O267), Collection!$B$2:$D$1001, 2, FALSE), "")</f>
        <v/>
      </c>
      <c r="Q267" s="190" t="str">
        <f>IFERROR(VLOOKUP(TRIM(O267), Collection!$B$2:$D$1001, 3, FALSE), "")</f>
        <v/>
      </c>
      <c r="R267" s="153" t="str">
        <f t="shared" si="30"/>
        <v/>
      </c>
      <c r="S267" s="151"/>
      <c r="T267" s="158"/>
      <c r="U267" s="137"/>
      <c r="V267" s="137"/>
      <c r="W267" s="156" t="str">
        <f t="shared" si="34"/>
        <v/>
      </c>
      <c r="X267" s="157"/>
      <c r="Y267" s="158"/>
      <c r="Z267" s="158"/>
      <c r="AA267" s="137" t="str">
        <f t="shared" ca="1" si="35"/>
        <v/>
      </c>
      <c r="AB267" s="137" t="str">
        <f t="shared" ca="1" si="31"/>
        <v/>
      </c>
      <c r="AC267" s="160" t="str">
        <f t="shared" ca="1" si="32"/>
        <v/>
      </c>
      <c r="AD267" s="159" t="str">
        <f t="shared" ca="1" si="33"/>
        <v/>
      </c>
      <c r="AE267" s="161"/>
      <c r="AF267" s="161"/>
      <c r="AG267" s="161"/>
      <c r="AH267" s="137"/>
      <c r="AI267" s="164" t="str">
        <f t="shared" si="29"/>
        <v/>
      </c>
      <c r="AJ267" s="164" t="str">
        <f>IF(AND(OpenPendingCases[[#This Row],[Sale Status	]]="Open Sale",OpenPendingCases[[#This Row],[Potential Same Month]]="High"),TEXT(OpenPendingCases[[#This Row],[Request Entry Date]], "[$-en-us]mmmm"),"")</f>
        <v/>
      </c>
      <c r="AK267" s="165" t="str">
        <f>IFERROR(VALUE(SUBSTITUTE(OpenPendingCases[[#This Row],[Price]]," AED","")),"")</f>
        <v/>
      </c>
      <c r="AL267" s="165" t="str">
        <f>IFERROR(VALUE(LEFT(OpenPendingCases[[#This Row],[Price]],FIND(" ",OpenPendingCases[[#This Row],[Price]])-1)),"")</f>
        <v/>
      </c>
      <c r="AM267" s="165" t="str">
        <f>IFERROR(VALUE(_xlfn.TEXTBEFORE(OpenPendingCases[[#This Row],[Price]]," AED")),"")</f>
        <v/>
      </c>
      <c r="AN267" s="165"/>
    </row>
    <row r="268" spans="3:40" ht="18" hidden="1" x14ac:dyDescent="0.35">
      <c r="C268" s="134"/>
      <c r="D268" s="137" t="str">
        <f>IF($U268="Open Sale", IF(MAX($D$4:D267)+1=0, "", MAX($D$4:D267)+1), "")</f>
        <v/>
      </c>
      <c r="E268" s="137" t="str">
        <f>IF($U268="Pending Allocation", IF(MAX($E$4:E267)+1=0, "", MAX($E$4:E267)+1), "")</f>
        <v/>
      </c>
      <c r="F268" s="137"/>
      <c r="G268" s="137"/>
      <c r="H268" s="150"/>
      <c r="I268" s="150"/>
      <c r="J268" s="68" t="str">
        <f>IF(OpenPendingCases[[#This Row],[Timepiece Reference ]]="", "", IF(_xlfn.XLOOKUP(OpenPendingCases[[#This Row],[Timepiece Reference ]], Table1[[Timepiece Reference ]], Table1[CRC STOCK], "Not Found")="YES", "CRC Stock", "Boutique Stock"))</f>
        <v/>
      </c>
      <c r="K268" s="137" t="str">
        <f>IF(OpenPendingCases[[#This Row],[Timepiece Reference ]]="", "", IF(_xlfn.XLOOKUP(OpenPendingCases[[#This Row],[Timepiece Reference ]], Table1[[Timepiece Reference ]], Table1[CRC STOCK], "Not Found")="YES", "CRC Stock", "Boutique Stock"))</f>
        <v/>
      </c>
      <c r="L268" s="143"/>
      <c r="M268" s="141"/>
      <c r="N268" s="137"/>
      <c r="O268" s="134"/>
      <c r="P268" s="94" t="str">
        <f>IFERROR(VLOOKUP(TRIM(O268), Collection!$B$2:$D$1001, 2, FALSE), "")</f>
        <v/>
      </c>
      <c r="Q268" s="190" t="str">
        <f>IFERROR(VLOOKUP(TRIM(O268), Collection!$B$2:$D$1001, 3, FALSE), "")</f>
        <v/>
      </c>
      <c r="R268" s="153" t="str">
        <f t="shared" si="30"/>
        <v/>
      </c>
      <c r="S268" s="151"/>
      <c r="T268" s="158"/>
      <c r="U268" s="137"/>
      <c r="V268" s="137"/>
      <c r="W268" s="156" t="str">
        <f t="shared" si="34"/>
        <v/>
      </c>
      <c r="X268" s="157"/>
      <c r="Y268" s="158"/>
      <c r="Z268" s="158"/>
      <c r="AA268" s="137" t="str">
        <f t="shared" ca="1" si="35"/>
        <v/>
      </c>
      <c r="AB268" s="137" t="str">
        <f t="shared" ca="1" si="31"/>
        <v/>
      </c>
      <c r="AC268" s="160" t="str">
        <f t="shared" ca="1" si="32"/>
        <v/>
      </c>
      <c r="AD268" s="159" t="str">
        <f t="shared" ca="1" si="33"/>
        <v/>
      </c>
      <c r="AE268" s="161"/>
      <c r="AF268" s="161"/>
      <c r="AG268" s="161"/>
      <c r="AH268" s="137"/>
      <c r="AI268" s="164" t="str">
        <f t="shared" si="29"/>
        <v/>
      </c>
      <c r="AJ268" s="164" t="str">
        <f>IF(AND(OpenPendingCases[[#This Row],[Sale Status	]]="Open Sale",OpenPendingCases[[#This Row],[Potential Same Month]]="High"),TEXT(OpenPendingCases[[#This Row],[Request Entry Date]], "[$-en-us]mmmm"),"")</f>
        <v/>
      </c>
      <c r="AK268" s="165" t="str">
        <f>IFERROR(VALUE(SUBSTITUTE(OpenPendingCases[[#This Row],[Price]]," AED","")),"")</f>
        <v/>
      </c>
      <c r="AL268" s="165" t="str">
        <f>IFERROR(VALUE(LEFT(OpenPendingCases[[#This Row],[Price]],FIND(" ",OpenPendingCases[[#This Row],[Price]])-1)),"")</f>
        <v/>
      </c>
      <c r="AM268" s="165" t="str">
        <f>IFERROR(VALUE(_xlfn.TEXTBEFORE(OpenPendingCases[[#This Row],[Price]]," AED")),"")</f>
        <v/>
      </c>
      <c r="AN268" s="165"/>
    </row>
    <row r="269" spans="3:40" ht="18" hidden="1" x14ac:dyDescent="0.35">
      <c r="C269" s="134"/>
      <c r="D269" s="137" t="str">
        <f>IF($U269="Open Sale", IF(MAX($D$4:D268)+1=0, "", MAX($D$4:D268)+1), "")</f>
        <v/>
      </c>
      <c r="E269" s="137" t="str">
        <f>IF($U269="Pending Allocation", IF(MAX($E$4:E268)+1=0, "", MAX($E$4:E268)+1), "")</f>
        <v/>
      </c>
      <c r="F269" s="137"/>
      <c r="G269" s="137"/>
      <c r="H269" s="150"/>
      <c r="I269" s="150"/>
      <c r="J269" s="68" t="str">
        <f>IF(OpenPendingCases[[#This Row],[Timepiece Reference ]]="", "", IF(_xlfn.XLOOKUP(OpenPendingCases[[#This Row],[Timepiece Reference ]], Table1[[Timepiece Reference ]], Table1[CRC STOCK], "Not Found")="YES", "CRC Stock", "Boutique Stock"))</f>
        <v/>
      </c>
      <c r="K269" s="137" t="str">
        <f>IF(OpenPendingCases[[#This Row],[Timepiece Reference ]]="", "", IF(_xlfn.XLOOKUP(OpenPendingCases[[#This Row],[Timepiece Reference ]], Table1[[Timepiece Reference ]], Table1[CRC STOCK], "Not Found")="YES", "CRC Stock", "Boutique Stock"))</f>
        <v/>
      </c>
      <c r="L269" s="143"/>
      <c r="M269" s="141"/>
      <c r="N269" s="137"/>
      <c r="O269" s="134"/>
      <c r="P269" s="94" t="str">
        <f>IFERROR(VLOOKUP(TRIM(O269), Collection!$B$2:$D$1001, 2, FALSE), "")</f>
        <v/>
      </c>
      <c r="Q269" s="190" t="str">
        <f>IFERROR(VLOOKUP(TRIM(O269), Collection!$B$2:$D$1001, 3, FALSE), "")</f>
        <v/>
      </c>
      <c r="R269" s="153" t="str">
        <f t="shared" si="30"/>
        <v/>
      </c>
      <c r="S269" s="151"/>
      <c r="T269" s="158"/>
      <c r="U269" s="137"/>
      <c r="V269" s="137"/>
      <c r="W269" s="156" t="str">
        <f t="shared" si="34"/>
        <v/>
      </c>
      <c r="X269" s="157"/>
      <c r="Y269" s="158"/>
      <c r="Z269" s="158"/>
      <c r="AA269" s="137" t="str">
        <f t="shared" ca="1" si="35"/>
        <v/>
      </c>
      <c r="AB269" s="137" t="str">
        <f t="shared" ca="1" si="31"/>
        <v/>
      </c>
      <c r="AC269" s="160" t="str">
        <f t="shared" ca="1" si="32"/>
        <v/>
      </c>
      <c r="AD269" s="159" t="str">
        <f t="shared" ca="1" si="33"/>
        <v/>
      </c>
      <c r="AE269" s="161"/>
      <c r="AF269" s="161"/>
      <c r="AG269" s="161"/>
      <c r="AH269" s="137"/>
      <c r="AI269" s="164" t="str">
        <f t="shared" si="29"/>
        <v/>
      </c>
      <c r="AJ269" s="164" t="str">
        <f>IF(AND(OpenPendingCases[[#This Row],[Sale Status	]]="Open Sale",OpenPendingCases[[#This Row],[Potential Same Month]]="High"),TEXT(OpenPendingCases[[#This Row],[Request Entry Date]], "[$-en-us]mmmm"),"")</f>
        <v/>
      </c>
      <c r="AK269" s="165" t="str">
        <f>IFERROR(VALUE(SUBSTITUTE(OpenPendingCases[[#This Row],[Price]]," AED","")),"")</f>
        <v/>
      </c>
      <c r="AL269" s="165" t="str">
        <f>IFERROR(VALUE(LEFT(OpenPendingCases[[#This Row],[Price]],FIND(" ",OpenPendingCases[[#This Row],[Price]])-1)),"")</f>
        <v/>
      </c>
      <c r="AM269" s="165" t="str">
        <f>IFERROR(VALUE(_xlfn.TEXTBEFORE(OpenPendingCases[[#This Row],[Price]]," AED")),"")</f>
        <v/>
      </c>
      <c r="AN269" s="165"/>
    </row>
    <row r="270" spans="3:40" ht="18" hidden="1" x14ac:dyDescent="0.35">
      <c r="C270" s="134"/>
      <c r="D270" s="137" t="str">
        <f>IF($U270="Open Sale", IF(MAX($D$4:D269)+1=0, "", MAX($D$4:D269)+1), "")</f>
        <v/>
      </c>
      <c r="E270" s="137" t="str">
        <f>IF($U270="Pending Allocation", IF(MAX($E$4:E269)+1=0, "", MAX($E$4:E269)+1), "")</f>
        <v/>
      </c>
      <c r="F270" s="137"/>
      <c r="G270" s="137"/>
      <c r="H270" s="150"/>
      <c r="I270" s="150"/>
      <c r="J270" s="68" t="str">
        <f>IF(OpenPendingCases[[#This Row],[Timepiece Reference ]]="", "", IF(_xlfn.XLOOKUP(OpenPendingCases[[#This Row],[Timepiece Reference ]], Table1[[Timepiece Reference ]], Table1[CRC STOCK], "Not Found")="YES", "CRC Stock", "Boutique Stock"))</f>
        <v/>
      </c>
      <c r="K270" s="137" t="str">
        <f>IF(OpenPendingCases[[#This Row],[Timepiece Reference ]]="", "", IF(_xlfn.XLOOKUP(OpenPendingCases[[#This Row],[Timepiece Reference ]], Table1[[Timepiece Reference ]], Table1[CRC STOCK], "Not Found")="YES", "CRC Stock", "Boutique Stock"))</f>
        <v/>
      </c>
      <c r="L270" s="143"/>
      <c r="M270" s="141"/>
      <c r="N270" s="137"/>
      <c r="O270" s="134"/>
      <c r="P270" s="94" t="str">
        <f>IFERROR(VLOOKUP(TRIM(O270), Collection!$B$2:$D$1001, 2, FALSE), "")</f>
        <v/>
      </c>
      <c r="Q270" s="190" t="str">
        <f>IFERROR(VLOOKUP(TRIM(O270), Collection!$B$2:$D$1001, 3, FALSE), "")</f>
        <v/>
      </c>
      <c r="R270" s="153" t="str">
        <f t="shared" si="30"/>
        <v/>
      </c>
      <c r="S270" s="151"/>
      <c r="T270" s="158"/>
      <c r="U270" s="137"/>
      <c r="V270" s="137"/>
      <c r="W270" s="156" t="str">
        <f t="shared" si="34"/>
        <v/>
      </c>
      <c r="X270" s="157"/>
      <c r="Y270" s="158"/>
      <c r="Z270" s="158"/>
      <c r="AA270" s="137" t="str">
        <f t="shared" ca="1" si="35"/>
        <v/>
      </c>
      <c r="AB270" s="137" t="str">
        <f t="shared" ca="1" si="31"/>
        <v/>
      </c>
      <c r="AC270" s="160" t="str">
        <f t="shared" ca="1" si="32"/>
        <v/>
      </c>
      <c r="AD270" s="159" t="str">
        <f t="shared" ca="1" si="33"/>
        <v/>
      </c>
      <c r="AE270" s="161"/>
      <c r="AF270" s="161"/>
      <c r="AG270" s="161"/>
      <c r="AH270" s="137"/>
      <c r="AI270" s="164" t="str">
        <f t="shared" si="29"/>
        <v/>
      </c>
      <c r="AJ270" s="164" t="str">
        <f>IF(AND(OpenPendingCases[[#This Row],[Sale Status	]]="Open Sale",OpenPendingCases[[#This Row],[Potential Same Month]]="High"),TEXT(OpenPendingCases[[#This Row],[Request Entry Date]], "[$-en-us]mmmm"),"")</f>
        <v/>
      </c>
      <c r="AK270" s="165" t="str">
        <f>IFERROR(VALUE(SUBSTITUTE(OpenPendingCases[[#This Row],[Price]]," AED","")),"")</f>
        <v/>
      </c>
      <c r="AL270" s="165" t="str">
        <f>IFERROR(VALUE(LEFT(OpenPendingCases[[#This Row],[Price]],FIND(" ",OpenPendingCases[[#This Row],[Price]])-1)),"")</f>
        <v/>
      </c>
      <c r="AM270" s="165" t="str">
        <f>IFERROR(VALUE(_xlfn.TEXTBEFORE(OpenPendingCases[[#This Row],[Price]]," AED")),"")</f>
        <v/>
      </c>
      <c r="AN270" s="165"/>
    </row>
    <row r="271" spans="3:40" ht="18" hidden="1" x14ac:dyDescent="0.35">
      <c r="C271" s="134"/>
      <c r="D271" s="137" t="str">
        <f>IF($U271="Open Sale", IF(MAX($D$4:D270)+1=0, "", MAX($D$4:D270)+1), "")</f>
        <v/>
      </c>
      <c r="E271" s="137" t="str">
        <f>IF($U271="Pending Allocation", IF(MAX($E$4:E270)+1=0, "", MAX($E$4:E270)+1), "")</f>
        <v/>
      </c>
      <c r="F271" s="137"/>
      <c r="G271" s="137"/>
      <c r="H271" s="150"/>
      <c r="I271" s="150"/>
      <c r="J271" s="68" t="str">
        <f>IF(OpenPendingCases[[#This Row],[Timepiece Reference ]]="", "", IF(_xlfn.XLOOKUP(OpenPendingCases[[#This Row],[Timepiece Reference ]], Table1[[Timepiece Reference ]], Table1[CRC STOCK], "Not Found")="YES", "CRC Stock", "Boutique Stock"))</f>
        <v/>
      </c>
      <c r="K271" s="137" t="str">
        <f>IF(OpenPendingCases[[#This Row],[Timepiece Reference ]]="", "", IF(_xlfn.XLOOKUP(OpenPendingCases[[#This Row],[Timepiece Reference ]], Table1[[Timepiece Reference ]], Table1[CRC STOCK], "Not Found")="YES", "CRC Stock", "Boutique Stock"))</f>
        <v/>
      </c>
      <c r="L271" s="143"/>
      <c r="M271" s="141"/>
      <c r="N271" s="137"/>
      <c r="O271" s="134"/>
      <c r="P271" s="94" t="str">
        <f>IFERROR(VLOOKUP(TRIM(O271), Collection!$B$2:$D$1001, 2, FALSE), "")</f>
        <v/>
      </c>
      <c r="Q271" s="190" t="str">
        <f>IFERROR(VLOOKUP(TRIM(O271), Collection!$B$2:$D$1001, 3, FALSE), "")</f>
        <v/>
      </c>
      <c r="R271" s="153" t="str">
        <f t="shared" si="30"/>
        <v/>
      </c>
      <c r="S271" s="151"/>
      <c r="T271" s="158"/>
      <c r="U271" s="137"/>
      <c r="V271" s="137"/>
      <c r="W271" s="156" t="str">
        <f t="shared" si="34"/>
        <v/>
      </c>
      <c r="X271" s="157"/>
      <c r="Y271" s="158"/>
      <c r="Z271" s="158"/>
      <c r="AA271" s="137" t="str">
        <f t="shared" ca="1" si="35"/>
        <v/>
      </c>
      <c r="AB271" s="137" t="str">
        <f t="shared" ca="1" si="31"/>
        <v/>
      </c>
      <c r="AC271" s="160" t="str">
        <f t="shared" ca="1" si="32"/>
        <v/>
      </c>
      <c r="AD271" s="159" t="str">
        <f t="shared" ca="1" si="33"/>
        <v/>
      </c>
      <c r="AE271" s="161"/>
      <c r="AF271" s="161"/>
      <c r="AG271" s="161"/>
      <c r="AH271" s="137"/>
      <c r="AI271" s="164" t="str">
        <f t="shared" si="29"/>
        <v/>
      </c>
      <c r="AJ271" s="164" t="str">
        <f>IF(AND(OpenPendingCases[[#This Row],[Sale Status	]]="Open Sale",OpenPendingCases[[#This Row],[Potential Same Month]]="High"),TEXT(OpenPendingCases[[#This Row],[Request Entry Date]], "[$-en-us]mmmm"),"")</f>
        <v/>
      </c>
      <c r="AK271" s="165" t="str">
        <f>IFERROR(VALUE(SUBSTITUTE(OpenPendingCases[[#This Row],[Price]]," AED","")),"")</f>
        <v/>
      </c>
      <c r="AL271" s="165" t="str">
        <f>IFERROR(VALUE(LEFT(OpenPendingCases[[#This Row],[Price]],FIND(" ",OpenPendingCases[[#This Row],[Price]])-1)),"")</f>
        <v/>
      </c>
      <c r="AM271" s="165" t="str">
        <f>IFERROR(VALUE(_xlfn.TEXTBEFORE(OpenPendingCases[[#This Row],[Price]]," AED")),"")</f>
        <v/>
      </c>
      <c r="AN271" s="165"/>
    </row>
    <row r="272" spans="3:40" ht="18" hidden="1" x14ac:dyDescent="0.35">
      <c r="C272" s="134"/>
      <c r="D272" s="137" t="str">
        <f>IF($U272="Open Sale", IF(MAX($D$4:D271)+1=0, "", MAX($D$4:D271)+1), "")</f>
        <v/>
      </c>
      <c r="E272" s="137" t="str">
        <f>IF($U272="Pending Allocation", IF(MAX($E$4:E271)+1=0, "", MAX($E$4:E271)+1), "")</f>
        <v/>
      </c>
      <c r="F272" s="137"/>
      <c r="G272" s="137"/>
      <c r="H272" s="150"/>
      <c r="I272" s="150"/>
      <c r="J272" s="68" t="str">
        <f>IF(OpenPendingCases[[#This Row],[Timepiece Reference ]]="", "", IF(_xlfn.XLOOKUP(OpenPendingCases[[#This Row],[Timepiece Reference ]], Table1[[Timepiece Reference ]], Table1[CRC STOCK], "Not Found")="YES", "CRC Stock", "Boutique Stock"))</f>
        <v/>
      </c>
      <c r="K272" s="137" t="str">
        <f>IF(OpenPendingCases[[#This Row],[Timepiece Reference ]]="", "", IF(_xlfn.XLOOKUP(OpenPendingCases[[#This Row],[Timepiece Reference ]], Table1[[Timepiece Reference ]], Table1[CRC STOCK], "Not Found")="YES", "CRC Stock", "Boutique Stock"))</f>
        <v/>
      </c>
      <c r="L272" s="143"/>
      <c r="M272" s="141"/>
      <c r="N272" s="137"/>
      <c r="O272" s="134"/>
      <c r="P272" s="94" t="str">
        <f>IFERROR(VLOOKUP(TRIM(O272), Collection!$B$2:$D$1001, 2, FALSE), "")</f>
        <v/>
      </c>
      <c r="Q272" s="190" t="str">
        <f>IFERROR(VLOOKUP(TRIM(O272), Collection!$B$2:$D$1001, 3, FALSE), "")</f>
        <v/>
      </c>
      <c r="R272" s="153" t="str">
        <f t="shared" si="30"/>
        <v/>
      </c>
      <c r="S272" s="151"/>
      <c r="T272" s="158"/>
      <c r="U272" s="137"/>
      <c r="V272" s="137"/>
      <c r="W272" s="156" t="str">
        <f t="shared" si="34"/>
        <v/>
      </c>
      <c r="X272" s="157"/>
      <c r="Y272" s="158"/>
      <c r="Z272" s="158"/>
      <c r="AA272" s="137" t="str">
        <f t="shared" ca="1" si="35"/>
        <v/>
      </c>
      <c r="AB272" s="137" t="str">
        <f t="shared" ca="1" si="31"/>
        <v/>
      </c>
      <c r="AC272" s="160" t="str">
        <f t="shared" ca="1" si="32"/>
        <v/>
      </c>
      <c r="AD272" s="159" t="str">
        <f t="shared" ca="1" si="33"/>
        <v/>
      </c>
      <c r="AE272" s="161"/>
      <c r="AF272" s="161"/>
      <c r="AG272" s="161"/>
      <c r="AH272" s="137"/>
      <c r="AI272" s="164" t="str">
        <f t="shared" si="29"/>
        <v/>
      </c>
      <c r="AJ272" s="164" t="str">
        <f>IF(AND(OpenPendingCases[[#This Row],[Sale Status	]]="Open Sale",OpenPendingCases[[#This Row],[Potential Same Month]]="High"),TEXT(OpenPendingCases[[#This Row],[Request Entry Date]], "[$-en-us]mmmm"),"")</f>
        <v/>
      </c>
      <c r="AK272" s="165" t="str">
        <f>IFERROR(VALUE(SUBSTITUTE(OpenPendingCases[[#This Row],[Price]]," AED","")),"")</f>
        <v/>
      </c>
      <c r="AL272" s="165" t="str">
        <f>IFERROR(VALUE(LEFT(OpenPendingCases[[#This Row],[Price]],FIND(" ",OpenPendingCases[[#This Row],[Price]])-1)),"")</f>
        <v/>
      </c>
      <c r="AM272" s="165" t="str">
        <f>IFERROR(VALUE(_xlfn.TEXTBEFORE(OpenPendingCases[[#This Row],[Price]]," AED")),"")</f>
        <v/>
      </c>
      <c r="AN272" s="165"/>
    </row>
    <row r="273" spans="3:40" ht="18" hidden="1" x14ac:dyDescent="0.35">
      <c r="C273" s="134"/>
      <c r="D273" s="137" t="str">
        <f>IF($U273="Open Sale", IF(MAX($D$4:D272)+1=0, "", MAX($D$4:D272)+1), "")</f>
        <v/>
      </c>
      <c r="E273" s="137" t="str">
        <f>IF($U273="Pending Allocation", IF(MAX($E$4:E272)+1=0, "", MAX($E$4:E272)+1), "")</f>
        <v/>
      </c>
      <c r="F273" s="137"/>
      <c r="G273" s="137"/>
      <c r="H273" s="150"/>
      <c r="I273" s="150"/>
      <c r="J273" s="68" t="str">
        <f>IF(OpenPendingCases[[#This Row],[Timepiece Reference ]]="", "", IF(_xlfn.XLOOKUP(OpenPendingCases[[#This Row],[Timepiece Reference ]], Table1[[Timepiece Reference ]], Table1[CRC STOCK], "Not Found")="YES", "CRC Stock", "Boutique Stock"))</f>
        <v/>
      </c>
      <c r="K273" s="137" t="str">
        <f>IF(OpenPendingCases[[#This Row],[Timepiece Reference ]]="", "", IF(_xlfn.XLOOKUP(OpenPendingCases[[#This Row],[Timepiece Reference ]], Table1[[Timepiece Reference ]], Table1[CRC STOCK], "Not Found")="YES", "CRC Stock", "Boutique Stock"))</f>
        <v/>
      </c>
      <c r="L273" s="143"/>
      <c r="M273" s="141"/>
      <c r="N273" s="137"/>
      <c r="O273" s="134"/>
      <c r="P273" s="94" t="str">
        <f>IFERROR(VLOOKUP(TRIM(O273), Collection!$B$2:$D$1001, 2, FALSE), "")</f>
        <v/>
      </c>
      <c r="Q273" s="190" t="str">
        <f>IFERROR(VLOOKUP(TRIM(O273), Collection!$B$2:$D$1001, 3, FALSE), "")</f>
        <v/>
      </c>
      <c r="R273" s="153" t="str">
        <f t="shared" si="30"/>
        <v/>
      </c>
      <c r="S273" s="151"/>
      <c r="T273" s="158"/>
      <c r="U273" s="137"/>
      <c r="V273" s="137"/>
      <c r="W273" s="156" t="str">
        <f t="shared" si="34"/>
        <v/>
      </c>
      <c r="X273" s="157"/>
      <c r="Y273" s="158"/>
      <c r="Z273" s="158"/>
      <c r="AA273" s="137" t="str">
        <f t="shared" ca="1" si="35"/>
        <v/>
      </c>
      <c r="AB273" s="137" t="str">
        <f t="shared" ca="1" si="31"/>
        <v/>
      </c>
      <c r="AC273" s="160" t="str">
        <f t="shared" ca="1" si="32"/>
        <v/>
      </c>
      <c r="AD273" s="159" t="str">
        <f t="shared" ca="1" si="33"/>
        <v/>
      </c>
      <c r="AE273" s="161"/>
      <c r="AF273" s="161"/>
      <c r="AG273" s="161"/>
      <c r="AH273" s="137"/>
      <c r="AI273" s="164" t="str">
        <f t="shared" si="29"/>
        <v/>
      </c>
      <c r="AJ273" s="164" t="str">
        <f>IF(AND(OpenPendingCases[[#This Row],[Sale Status	]]="Open Sale",OpenPendingCases[[#This Row],[Potential Same Month]]="High"),TEXT(OpenPendingCases[[#This Row],[Request Entry Date]], "[$-en-us]mmmm"),"")</f>
        <v/>
      </c>
      <c r="AK273" s="165" t="str">
        <f>IFERROR(VALUE(SUBSTITUTE(OpenPendingCases[[#This Row],[Price]]," AED","")),"")</f>
        <v/>
      </c>
      <c r="AL273" s="165" t="str">
        <f>IFERROR(VALUE(LEFT(OpenPendingCases[[#This Row],[Price]],FIND(" ",OpenPendingCases[[#This Row],[Price]])-1)),"")</f>
        <v/>
      </c>
      <c r="AM273" s="165" t="str">
        <f>IFERROR(VALUE(_xlfn.TEXTBEFORE(OpenPendingCases[[#This Row],[Price]]," AED")),"")</f>
        <v/>
      </c>
      <c r="AN273" s="165"/>
    </row>
    <row r="274" spans="3:40" ht="18" hidden="1" x14ac:dyDescent="0.35">
      <c r="C274" s="134"/>
      <c r="D274" s="137" t="str">
        <f>IF($U274="Open Sale", IF(MAX($D$4:D273)+1=0, "", MAX($D$4:D273)+1), "")</f>
        <v/>
      </c>
      <c r="E274" s="137" t="str">
        <f>IF($U274="Pending Allocation", IF(MAX($E$4:E273)+1=0, "", MAX($E$4:E273)+1), "")</f>
        <v/>
      </c>
      <c r="F274" s="137"/>
      <c r="G274" s="137"/>
      <c r="H274" s="150"/>
      <c r="I274" s="150"/>
      <c r="J274" s="68" t="str">
        <f>IF(OpenPendingCases[[#This Row],[Timepiece Reference ]]="", "", IF(_xlfn.XLOOKUP(OpenPendingCases[[#This Row],[Timepiece Reference ]], Table1[[Timepiece Reference ]], Table1[CRC STOCK], "Not Found")="YES", "CRC Stock", "Boutique Stock"))</f>
        <v/>
      </c>
      <c r="K274" s="137" t="str">
        <f>IF(OpenPendingCases[[#This Row],[Timepiece Reference ]]="", "", IF(_xlfn.XLOOKUP(OpenPendingCases[[#This Row],[Timepiece Reference ]], Table1[[Timepiece Reference ]], Table1[CRC STOCK], "Not Found")="YES", "CRC Stock", "Boutique Stock"))</f>
        <v/>
      </c>
      <c r="L274" s="143"/>
      <c r="M274" s="141"/>
      <c r="N274" s="137"/>
      <c r="O274" s="134"/>
      <c r="P274" s="94" t="str">
        <f>IFERROR(VLOOKUP(TRIM(O274), Collection!$B$2:$D$1001, 2, FALSE), "")</f>
        <v/>
      </c>
      <c r="Q274" s="190" t="str">
        <f>IFERROR(VLOOKUP(TRIM(O274), Collection!$B$2:$D$1001, 3, FALSE), "")</f>
        <v/>
      </c>
      <c r="R274" s="153" t="str">
        <f t="shared" si="30"/>
        <v/>
      </c>
      <c r="S274" s="151"/>
      <c r="T274" s="158"/>
      <c r="U274" s="137"/>
      <c r="V274" s="137"/>
      <c r="W274" s="156" t="str">
        <f t="shared" si="34"/>
        <v/>
      </c>
      <c r="X274" s="157"/>
      <c r="Y274" s="158"/>
      <c r="Z274" s="158"/>
      <c r="AA274" s="137" t="str">
        <f t="shared" ca="1" si="35"/>
        <v/>
      </c>
      <c r="AB274" s="137" t="str">
        <f t="shared" ca="1" si="31"/>
        <v/>
      </c>
      <c r="AC274" s="160" t="str">
        <f t="shared" ca="1" si="32"/>
        <v/>
      </c>
      <c r="AD274" s="159" t="str">
        <f t="shared" ca="1" si="33"/>
        <v/>
      </c>
      <c r="AE274" s="161"/>
      <c r="AF274" s="161"/>
      <c r="AG274" s="161"/>
      <c r="AH274" s="137"/>
      <c r="AI274" s="164" t="str">
        <f t="shared" si="29"/>
        <v/>
      </c>
      <c r="AJ274" s="164" t="str">
        <f>IF(AND(OpenPendingCases[[#This Row],[Sale Status	]]="Open Sale",OpenPendingCases[[#This Row],[Potential Same Month]]="High"),TEXT(OpenPendingCases[[#This Row],[Request Entry Date]], "[$-en-us]mmmm"),"")</f>
        <v/>
      </c>
      <c r="AK274" s="165" t="str">
        <f>IFERROR(VALUE(SUBSTITUTE(OpenPendingCases[[#This Row],[Price]]," AED","")),"")</f>
        <v/>
      </c>
      <c r="AL274" s="165" t="str">
        <f>IFERROR(VALUE(LEFT(OpenPendingCases[[#This Row],[Price]],FIND(" ",OpenPendingCases[[#This Row],[Price]])-1)),"")</f>
        <v/>
      </c>
      <c r="AM274" s="165" t="str">
        <f>IFERROR(VALUE(_xlfn.TEXTBEFORE(OpenPendingCases[[#This Row],[Price]]," AED")),"")</f>
        <v/>
      </c>
      <c r="AN274" s="165"/>
    </row>
    <row r="275" spans="3:40" ht="18" hidden="1" x14ac:dyDescent="0.35">
      <c r="C275" s="134"/>
      <c r="D275" s="137" t="str">
        <f>IF($U275="Open Sale", IF(MAX($D$4:D274)+1=0, "", MAX($D$4:D274)+1), "")</f>
        <v/>
      </c>
      <c r="E275" s="137" t="str">
        <f>IF($U275="Pending Allocation", IF(MAX($E$4:E274)+1=0, "", MAX($E$4:E274)+1), "")</f>
        <v/>
      </c>
      <c r="F275" s="137"/>
      <c r="G275" s="137"/>
      <c r="H275" s="150"/>
      <c r="I275" s="150"/>
      <c r="J275" s="68" t="str">
        <f>IF(OpenPendingCases[[#This Row],[Timepiece Reference ]]="", "", IF(_xlfn.XLOOKUP(OpenPendingCases[[#This Row],[Timepiece Reference ]], Table1[[Timepiece Reference ]], Table1[CRC STOCK], "Not Found")="YES", "CRC Stock", "Boutique Stock"))</f>
        <v/>
      </c>
      <c r="K275" s="137" t="str">
        <f>IF(OpenPendingCases[[#This Row],[Timepiece Reference ]]="", "", IF(_xlfn.XLOOKUP(OpenPendingCases[[#This Row],[Timepiece Reference ]], Table1[[Timepiece Reference ]], Table1[CRC STOCK], "Not Found")="YES", "CRC Stock", "Boutique Stock"))</f>
        <v/>
      </c>
      <c r="L275" s="143"/>
      <c r="M275" s="141"/>
      <c r="N275" s="137"/>
      <c r="O275" s="134"/>
      <c r="P275" s="94" t="str">
        <f>IFERROR(VLOOKUP(TRIM(O275), Collection!$B$2:$D$1001, 2, FALSE), "")</f>
        <v/>
      </c>
      <c r="Q275" s="190" t="str">
        <f>IFERROR(VLOOKUP(TRIM(O275), Collection!$B$2:$D$1001, 3, FALSE), "")</f>
        <v/>
      </c>
      <c r="R275" s="153" t="str">
        <f t="shared" si="30"/>
        <v/>
      </c>
      <c r="S275" s="151"/>
      <c r="T275" s="158"/>
      <c r="U275" s="137"/>
      <c r="V275" s="137"/>
      <c r="W275" s="156" t="str">
        <f t="shared" si="34"/>
        <v/>
      </c>
      <c r="X275" s="157"/>
      <c r="Y275" s="158"/>
      <c r="Z275" s="158"/>
      <c r="AA275" s="137" t="str">
        <f t="shared" ca="1" si="35"/>
        <v/>
      </c>
      <c r="AB275" s="137" t="str">
        <f t="shared" ca="1" si="31"/>
        <v/>
      </c>
      <c r="AC275" s="160" t="str">
        <f t="shared" ca="1" si="32"/>
        <v/>
      </c>
      <c r="AD275" s="159" t="str">
        <f t="shared" ca="1" si="33"/>
        <v/>
      </c>
      <c r="AE275" s="161"/>
      <c r="AF275" s="161"/>
      <c r="AG275" s="161"/>
      <c r="AH275" s="137"/>
      <c r="AI275" s="164" t="str">
        <f t="shared" si="29"/>
        <v/>
      </c>
      <c r="AJ275" s="164" t="str">
        <f>IF(AND(OpenPendingCases[[#This Row],[Sale Status	]]="Open Sale",OpenPendingCases[[#This Row],[Potential Same Month]]="High"),TEXT(OpenPendingCases[[#This Row],[Request Entry Date]], "[$-en-us]mmmm"),"")</f>
        <v/>
      </c>
      <c r="AK275" s="165" t="str">
        <f>IFERROR(VALUE(SUBSTITUTE(OpenPendingCases[[#This Row],[Price]]," AED","")),"")</f>
        <v/>
      </c>
      <c r="AL275" s="165" t="str">
        <f>IFERROR(VALUE(LEFT(OpenPendingCases[[#This Row],[Price]],FIND(" ",OpenPendingCases[[#This Row],[Price]])-1)),"")</f>
        <v/>
      </c>
      <c r="AM275" s="165" t="str">
        <f>IFERROR(VALUE(_xlfn.TEXTBEFORE(OpenPendingCases[[#This Row],[Price]]," AED")),"")</f>
        <v/>
      </c>
      <c r="AN275" s="165"/>
    </row>
    <row r="276" spans="3:40" ht="18" hidden="1" x14ac:dyDescent="0.35">
      <c r="C276" s="134"/>
      <c r="D276" s="137" t="str">
        <f>IF($U276="Open Sale", IF(MAX($D$4:D275)+1=0, "", MAX($D$4:D275)+1), "")</f>
        <v/>
      </c>
      <c r="E276" s="137" t="str">
        <f>IF($U276="Pending Allocation", IF(MAX($E$4:E275)+1=0, "", MAX($E$4:E275)+1), "")</f>
        <v/>
      </c>
      <c r="F276" s="137"/>
      <c r="G276" s="137"/>
      <c r="H276" s="150"/>
      <c r="I276" s="150"/>
      <c r="J276" s="68" t="str">
        <f>IF(OpenPendingCases[[#This Row],[Timepiece Reference ]]="", "", IF(_xlfn.XLOOKUP(OpenPendingCases[[#This Row],[Timepiece Reference ]], Table1[[Timepiece Reference ]], Table1[CRC STOCK], "Not Found")="YES", "CRC Stock", "Boutique Stock"))</f>
        <v/>
      </c>
      <c r="K276" s="137" t="str">
        <f>IF(OpenPendingCases[[#This Row],[Timepiece Reference ]]="", "", IF(_xlfn.XLOOKUP(OpenPendingCases[[#This Row],[Timepiece Reference ]], Table1[[Timepiece Reference ]], Table1[CRC STOCK], "Not Found")="YES", "CRC Stock", "Boutique Stock"))</f>
        <v/>
      </c>
      <c r="L276" s="143"/>
      <c r="M276" s="141"/>
      <c r="N276" s="137"/>
      <c r="O276" s="134"/>
      <c r="P276" s="94" t="str">
        <f>IFERROR(VLOOKUP(TRIM(O276), Collection!$B$2:$D$1001, 2, FALSE), "")</f>
        <v/>
      </c>
      <c r="Q276" s="190" t="str">
        <f>IFERROR(VLOOKUP(TRIM(O276), Collection!$B$2:$D$1001, 3, FALSE), "")</f>
        <v/>
      </c>
      <c r="R276" s="153" t="str">
        <f t="shared" si="30"/>
        <v/>
      </c>
      <c r="S276" s="151"/>
      <c r="T276" s="158"/>
      <c r="U276" s="137"/>
      <c r="V276" s="137"/>
      <c r="W276" s="156" t="str">
        <f t="shared" si="34"/>
        <v/>
      </c>
      <c r="X276" s="157"/>
      <c r="Y276" s="158"/>
      <c r="Z276" s="158"/>
      <c r="AA276" s="137" t="str">
        <f t="shared" ca="1" si="35"/>
        <v/>
      </c>
      <c r="AB276" s="137" t="str">
        <f t="shared" ca="1" si="31"/>
        <v/>
      </c>
      <c r="AC276" s="160" t="str">
        <f t="shared" ca="1" si="32"/>
        <v/>
      </c>
      <c r="AD276" s="159" t="str">
        <f t="shared" ca="1" si="33"/>
        <v/>
      </c>
      <c r="AE276" s="161"/>
      <c r="AF276" s="161"/>
      <c r="AG276" s="161"/>
      <c r="AH276" s="137"/>
      <c r="AI276" s="164" t="str">
        <f t="shared" si="29"/>
        <v/>
      </c>
      <c r="AJ276" s="164" t="str">
        <f>IF(AND(OpenPendingCases[[#This Row],[Sale Status	]]="Open Sale",OpenPendingCases[[#This Row],[Potential Same Month]]="High"),TEXT(OpenPendingCases[[#This Row],[Request Entry Date]], "[$-en-us]mmmm"),"")</f>
        <v/>
      </c>
      <c r="AK276" s="165" t="str">
        <f>IFERROR(VALUE(SUBSTITUTE(OpenPendingCases[[#This Row],[Price]]," AED","")),"")</f>
        <v/>
      </c>
      <c r="AL276" s="165" t="str">
        <f>IFERROR(VALUE(LEFT(OpenPendingCases[[#This Row],[Price]],FIND(" ",OpenPendingCases[[#This Row],[Price]])-1)),"")</f>
        <v/>
      </c>
      <c r="AM276" s="165" t="str">
        <f>IFERROR(VALUE(_xlfn.TEXTBEFORE(OpenPendingCases[[#This Row],[Price]]," AED")),"")</f>
        <v/>
      </c>
      <c r="AN276" s="165"/>
    </row>
    <row r="277" spans="3:40" ht="18" hidden="1" x14ac:dyDescent="0.35">
      <c r="C277" s="134"/>
      <c r="D277" s="137" t="str">
        <f>IF($U277="Open Sale", IF(MAX($D$4:D276)+1=0, "", MAX($D$4:D276)+1), "")</f>
        <v/>
      </c>
      <c r="E277" s="137" t="str">
        <f>IF($U277="Pending Allocation", IF(MAX($E$4:E276)+1=0, "", MAX($E$4:E276)+1), "")</f>
        <v/>
      </c>
      <c r="F277" s="137"/>
      <c r="G277" s="137"/>
      <c r="H277" s="150"/>
      <c r="I277" s="150"/>
      <c r="J277" s="68" t="str">
        <f>IF(OpenPendingCases[[#This Row],[Timepiece Reference ]]="", "", IF(_xlfn.XLOOKUP(OpenPendingCases[[#This Row],[Timepiece Reference ]], Table1[[Timepiece Reference ]], Table1[CRC STOCK], "Not Found")="YES", "CRC Stock", "Boutique Stock"))</f>
        <v/>
      </c>
      <c r="K277" s="137" t="str">
        <f>IF(OpenPendingCases[[#This Row],[Timepiece Reference ]]="", "", IF(_xlfn.XLOOKUP(OpenPendingCases[[#This Row],[Timepiece Reference ]], Table1[[Timepiece Reference ]], Table1[CRC STOCK], "Not Found")="YES", "CRC Stock", "Boutique Stock"))</f>
        <v/>
      </c>
      <c r="L277" s="143"/>
      <c r="M277" s="141"/>
      <c r="N277" s="137"/>
      <c r="O277" s="134"/>
      <c r="P277" s="94" t="str">
        <f>IFERROR(VLOOKUP(TRIM(O277), Collection!$B$2:$D$1001, 2, FALSE), "")</f>
        <v/>
      </c>
      <c r="Q277" s="190" t="str">
        <f>IFERROR(VLOOKUP(TRIM(O277), Collection!$B$2:$D$1001, 3, FALSE), "")</f>
        <v/>
      </c>
      <c r="R277" s="153" t="str">
        <f t="shared" si="30"/>
        <v/>
      </c>
      <c r="S277" s="151"/>
      <c r="T277" s="158"/>
      <c r="U277" s="137"/>
      <c r="V277" s="137"/>
      <c r="W277" s="156" t="str">
        <f t="shared" si="34"/>
        <v/>
      </c>
      <c r="X277" s="157"/>
      <c r="Y277" s="158"/>
      <c r="Z277" s="158"/>
      <c r="AA277" s="137" t="str">
        <f t="shared" ca="1" si="35"/>
        <v/>
      </c>
      <c r="AB277" s="137" t="str">
        <f t="shared" ca="1" si="31"/>
        <v/>
      </c>
      <c r="AC277" s="160" t="str">
        <f t="shared" ca="1" si="32"/>
        <v/>
      </c>
      <c r="AD277" s="159" t="str">
        <f t="shared" ca="1" si="33"/>
        <v/>
      </c>
      <c r="AE277" s="161"/>
      <c r="AF277" s="161"/>
      <c r="AG277" s="161"/>
      <c r="AH277" s="137"/>
      <c r="AI277" s="164" t="str">
        <f t="shared" si="29"/>
        <v/>
      </c>
      <c r="AJ277" s="164" t="str">
        <f>IF(AND(OpenPendingCases[[#This Row],[Sale Status	]]="Open Sale",OpenPendingCases[[#This Row],[Potential Same Month]]="High"),TEXT(OpenPendingCases[[#This Row],[Request Entry Date]], "[$-en-us]mmmm"),"")</f>
        <v/>
      </c>
      <c r="AK277" s="165" t="str">
        <f>IFERROR(VALUE(SUBSTITUTE(OpenPendingCases[[#This Row],[Price]]," AED","")),"")</f>
        <v/>
      </c>
      <c r="AL277" s="165" t="str">
        <f>IFERROR(VALUE(LEFT(OpenPendingCases[[#This Row],[Price]],FIND(" ",OpenPendingCases[[#This Row],[Price]])-1)),"")</f>
        <v/>
      </c>
      <c r="AM277" s="165" t="str">
        <f>IFERROR(VALUE(_xlfn.TEXTBEFORE(OpenPendingCases[[#This Row],[Price]]," AED")),"")</f>
        <v/>
      </c>
      <c r="AN277" s="165"/>
    </row>
    <row r="278" spans="3:40" ht="18" hidden="1" x14ac:dyDescent="0.35">
      <c r="C278" s="134"/>
      <c r="D278" s="137" t="str">
        <f>IF($U278="Open Sale", IF(MAX($D$4:D277)+1=0, "", MAX($D$4:D277)+1), "")</f>
        <v/>
      </c>
      <c r="E278" s="137" t="str">
        <f>IF($U278="Pending Allocation", IF(MAX($E$4:E277)+1=0, "", MAX($E$4:E277)+1), "")</f>
        <v/>
      </c>
      <c r="F278" s="137"/>
      <c r="G278" s="137"/>
      <c r="H278" s="150"/>
      <c r="I278" s="150"/>
      <c r="J278" s="68" t="str">
        <f>IF(OpenPendingCases[[#This Row],[Timepiece Reference ]]="", "", IF(_xlfn.XLOOKUP(OpenPendingCases[[#This Row],[Timepiece Reference ]], Table1[[Timepiece Reference ]], Table1[CRC STOCK], "Not Found")="YES", "CRC Stock", "Boutique Stock"))</f>
        <v/>
      </c>
      <c r="K278" s="137" t="str">
        <f>IF(OpenPendingCases[[#This Row],[Timepiece Reference ]]="", "", IF(_xlfn.XLOOKUP(OpenPendingCases[[#This Row],[Timepiece Reference ]], Table1[[Timepiece Reference ]], Table1[CRC STOCK], "Not Found")="YES", "CRC Stock", "Boutique Stock"))</f>
        <v/>
      </c>
      <c r="L278" s="143"/>
      <c r="M278" s="141"/>
      <c r="N278" s="137"/>
      <c r="O278" s="134"/>
      <c r="P278" s="94" t="str">
        <f>IFERROR(VLOOKUP(TRIM(O278), Collection!$B$2:$D$1001, 2, FALSE), "")</f>
        <v/>
      </c>
      <c r="Q278" s="190" t="str">
        <f>IFERROR(VLOOKUP(TRIM(O278), Collection!$B$2:$D$1001, 3, FALSE), "")</f>
        <v/>
      </c>
      <c r="R278" s="153" t="str">
        <f t="shared" si="30"/>
        <v/>
      </c>
      <c r="S278" s="151"/>
      <c r="T278" s="158"/>
      <c r="U278" s="137"/>
      <c r="V278" s="137"/>
      <c r="W278" s="156" t="str">
        <f t="shared" si="34"/>
        <v/>
      </c>
      <c r="X278" s="157"/>
      <c r="Y278" s="158"/>
      <c r="Z278" s="158"/>
      <c r="AA278" s="137" t="str">
        <f t="shared" ca="1" si="35"/>
        <v/>
      </c>
      <c r="AB278" s="137" t="str">
        <f t="shared" ca="1" si="31"/>
        <v/>
      </c>
      <c r="AC278" s="160" t="str">
        <f t="shared" ca="1" si="32"/>
        <v/>
      </c>
      <c r="AD278" s="159" t="str">
        <f t="shared" ca="1" si="33"/>
        <v/>
      </c>
      <c r="AE278" s="161"/>
      <c r="AF278" s="161"/>
      <c r="AG278" s="161"/>
      <c r="AH278" s="137"/>
      <c r="AI278" s="164" t="str">
        <f t="shared" ref="AI278:AI341" si="36">IF(I278="","",TEXT(I278, "mmmm yyyy"))</f>
        <v/>
      </c>
      <c r="AJ278" s="164" t="str">
        <f>IF(AND(OpenPendingCases[[#This Row],[Sale Status	]]="Open Sale",OpenPendingCases[[#This Row],[Potential Same Month]]="High"),TEXT(OpenPendingCases[[#This Row],[Request Entry Date]], "[$-en-us]mmmm"),"")</f>
        <v/>
      </c>
      <c r="AK278" s="165" t="str">
        <f>IFERROR(VALUE(SUBSTITUTE(OpenPendingCases[[#This Row],[Price]]," AED","")),"")</f>
        <v/>
      </c>
      <c r="AL278" s="165" t="str">
        <f>IFERROR(VALUE(LEFT(OpenPendingCases[[#This Row],[Price]],FIND(" ",OpenPendingCases[[#This Row],[Price]])-1)),"")</f>
        <v/>
      </c>
      <c r="AM278" s="165" t="str">
        <f>IFERROR(VALUE(_xlfn.TEXTBEFORE(OpenPendingCases[[#This Row],[Price]]," AED")),"")</f>
        <v/>
      </c>
      <c r="AN278" s="165"/>
    </row>
    <row r="279" spans="3:40" ht="18" hidden="1" x14ac:dyDescent="0.35">
      <c r="C279" s="134"/>
      <c r="D279" s="137" t="str">
        <f>IF($U279="Open Sale", IF(MAX($D$4:D278)+1=0, "", MAX($D$4:D278)+1), "")</f>
        <v/>
      </c>
      <c r="E279" s="137" t="str">
        <f>IF($U279="Pending Allocation", IF(MAX($E$4:E278)+1=0, "", MAX($E$4:E278)+1), "")</f>
        <v/>
      </c>
      <c r="F279" s="137"/>
      <c r="G279" s="137"/>
      <c r="H279" s="150"/>
      <c r="I279" s="150"/>
      <c r="J279" s="68" t="str">
        <f>IF(OpenPendingCases[[#This Row],[Timepiece Reference ]]="", "", IF(_xlfn.XLOOKUP(OpenPendingCases[[#This Row],[Timepiece Reference ]], Table1[[Timepiece Reference ]], Table1[CRC STOCK], "Not Found")="YES", "CRC Stock", "Boutique Stock"))</f>
        <v/>
      </c>
      <c r="K279" s="137" t="str">
        <f>IF(OpenPendingCases[[#This Row],[Timepiece Reference ]]="", "", IF(_xlfn.XLOOKUP(OpenPendingCases[[#This Row],[Timepiece Reference ]], Table1[[Timepiece Reference ]], Table1[CRC STOCK], "Not Found")="YES", "CRC Stock", "Boutique Stock"))</f>
        <v/>
      </c>
      <c r="L279" s="143"/>
      <c r="M279" s="141"/>
      <c r="N279" s="137"/>
      <c r="O279" s="134"/>
      <c r="P279" s="94" t="str">
        <f>IFERROR(VLOOKUP(TRIM(O279), Collection!$B$2:$D$1001, 2, FALSE), "")</f>
        <v/>
      </c>
      <c r="Q279" s="190" t="str">
        <f>IFERROR(VLOOKUP(TRIM(O279), Collection!$B$2:$D$1001, 3, FALSE), "")</f>
        <v/>
      </c>
      <c r="R279" s="153" t="str">
        <f t="shared" si="30"/>
        <v/>
      </c>
      <c r="S279" s="151"/>
      <c r="T279" s="158"/>
      <c r="U279" s="137"/>
      <c r="V279" s="137"/>
      <c r="W279" s="156" t="str">
        <f t="shared" si="34"/>
        <v/>
      </c>
      <c r="X279" s="157"/>
      <c r="Y279" s="158"/>
      <c r="Z279" s="158"/>
      <c r="AA279" s="137" t="str">
        <f t="shared" ca="1" si="35"/>
        <v/>
      </c>
      <c r="AB279" s="137" t="str">
        <f t="shared" ca="1" si="31"/>
        <v/>
      </c>
      <c r="AC279" s="160" t="str">
        <f t="shared" ca="1" si="32"/>
        <v/>
      </c>
      <c r="AD279" s="159" t="str">
        <f t="shared" ca="1" si="33"/>
        <v/>
      </c>
      <c r="AE279" s="161"/>
      <c r="AF279" s="161"/>
      <c r="AG279" s="161"/>
      <c r="AH279" s="137"/>
      <c r="AI279" s="164" t="str">
        <f t="shared" si="36"/>
        <v/>
      </c>
      <c r="AJ279" s="164" t="str">
        <f>IF(AND(OpenPendingCases[[#This Row],[Sale Status	]]="Open Sale",OpenPendingCases[[#This Row],[Potential Same Month]]="High"),TEXT(OpenPendingCases[[#This Row],[Request Entry Date]], "[$-en-us]mmmm"),"")</f>
        <v/>
      </c>
      <c r="AK279" s="165" t="str">
        <f>IFERROR(VALUE(SUBSTITUTE(OpenPendingCases[[#This Row],[Price]]," AED","")),"")</f>
        <v/>
      </c>
      <c r="AL279" s="165" t="str">
        <f>IFERROR(VALUE(LEFT(OpenPendingCases[[#This Row],[Price]],FIND(" ",OpenPendingCases[[#This Row],[Price]])-1)),"")</f>
        <v/>
      </c>
      <c r="AM279" s="165" t="str">
        <f>IFERROR(VALUE(_xlfn.TEXTBEFORE(OpenPendingCases[[#This Row],[Price]]," AED")),"")</f>
        <v/>
      </c>
      <c r="AN279" s="165"/>
    </row>
    <row r="280" spans="3:40" ht="18" hidden="1" x14ac:dyDescent="0.35">
      <c r="C280" s="134"/>
      <c r="D280" s="137" t="str">
        <f>IF($U280="Open Sale", IF(MAX($D$4:D279)+1=0, "", MAX($D$4:D279)+1), "")</f>
        <v/>
      </c>
      <c r="E280" s="137" t="str">
        <f>IF($U280="Pending Allocation", IF(MAX($E$4:E279)+1=0, "", MAX($E$4:E279)+1), "")</f>
        <v/>
      </c>
      <c r="F280" s="137"/>
      <c r="G280" s="137"/>
      <c r="H280" s="150"/>
      <c r="I280" s="150"/>
      <c r="J280" s="68" t="str">
        <f>IF(OpenPendingCases[[#This Row],[Timepiece Reference ]]="", "", IF(_xlfn.XLOOKUP(OpenPendingCases[[#This Row],[Timepiece Reference ]], Table1[[Timepiece Reference ]], Table1[CRC STOCK], "Not Found")="YES", "CRC Stock", "Boutique Stock"))</f>
        <v/>
      </c>
      <c r="K280" s="137" t="str">
        <f>IF(OpenPendingCases[[#This Row],[Timepiece Reference ]]="", "", IF(_xlfn.XLOOKUP(OpenPendingCases[[#This Row],[Timepiece Reference ]], Table1[[Timepiece Reference ]], Table1[CRC STOCK], "Not Found")="YES", "CRC Stock", "Boutique Stock"))</f>
        <v/>
      </c>
      <c r="L280" s="143"/>
      <c r="M280" s="141"/>
      <c r="N280" s="137"/>
      <c r="O280" s="134"/>
      <c r="P280" s="94" t="str">
        <f>IFERROR(VLOOKUP(TRIM(O280), Collection!$B$2:$D$1001, 2, FALSE), "")</f>
        <v/>
      </c>
      <c r="Q280" s="190" t="str">
        <f>IFERROR(VLOOKUP(TRIM(O280), Collection!$B$2:$D$1001, 3, FALSE), "")</f>
        <v/>
      </c>
      <c r="R280" s="153" t="str">
        <f t="shared" si="30"/>
        <v/>
      </c>
      <c r="S280" s="151"/>
      <c r="T280" s="158"/>
      <c r="U280" s="137"/>
      <c r="V280" s="137"/>
      <c r="W280" s="156" t="str">
        <f t="shared" si="34"/>
        <v/>
      </c>
      <c r="X280" s="157"/>
      <c r="Y280" s="158"/>
      <c r="Z280" s="158"/>
      <c r="AA280" s="137" t="str">
        <f t="shared" ca="1" si="35"/>
        <v/>
      </c>
      <c r="AB280" s="137" t="str">
        <f t="shared" ca="1" si="31"/>
        <v/>
      </c>
      <c r="AC280" s="160" t="str">
        <f t="shared" ca="1" si="32"/>
        <v/>
      </c>
      <c r="AD280" s="159" t="str">
        <f t="shared" ca="1" si="33"/>
        <v/>
      </c>
      <c r="AE280" s="161"/>
      <c r="AF280" s="161"/>
      <c r="AG280" s="161"/>
      <c r="AH280" s="137"/>
      <c r="AI280" s="164" t="str">
        <f t="shared" si="36"/>
        <v/>
      </c>
      <c r="AJ280" s="164" t="str">
        <f>IF(AND(OpenPendingCases[[#This Row],[Sale Status	]]="Open Sale",OpenPendingCases[[#This Row],[Potential Same Month]]="High"),TEXT(OpenPendingCases[[#This Row],[Request Entry Date]], "[$-en-us]mmmm"),"")</f>
        <v/>
      </c>
      <c r="AK280" s="165" t="str">
        <f>IFERROR(VALUE(SUBSTITUTE(OpenPendingCases[[#This Row],[Price]]," AED","")),"")</f>
        <v/>
      </c>
      <c r="AL280" s="165" t="str">
        <f>IFERROR(VALUE(LEFT(OpenPendingCases[[#This Row],[Price]],FIND(" ",OpenPendingCases[[#This Row],[Price]])-1)),"")</f>
        <v/>
      </c>
      <c r="AM280" s="165" t="str">
        <f>IFERROR(VALUE(_xlfn.TEXTBEFORE(OpenPendingCases[[#This Row],[Price]]," AED")),"")</f>
        <v/>
      </c>
      <c r="AN280" s="165"/>
    </row>
    <row r="281" spans="3:40" ht="18" hidden="1" x14ac:dyDescent="0.35">
      <c r="C281" s="134"/>
      <c r="D281" s="137" t="str">
        <f>IF($U281="Open Sale", IF(MAX($D$4:D280)+1=0, "", MAX($D$4:D280)+1), "")</f>
        <v/>
      </c>
      <c r="E281" s="137" t="str">
        <f>IF($U281="Pending Allocation", IF(MAX($E$4:E280)+1=0, "", MAX($E$4:E280)+1), "")</f>
        <v/>
      </c>
      <c r="F281" s="137"/>
      <c r="G281" s="137"/>
      <c r="H281" s="150"/>
      <c r="I281" s="150"/>
      <c r="J281" s="68" t="str">
        <f>IF(OpenPendingCases[[#This Row],[Timepiece Reference ]]="", "", IF(_xlfn.XLOOKUP(OpenPendingCases[[#This Row],[Timepiece Reference ]], Table1[[Timepiece Reference ]], Table1[CRC STOCK], "Not Found")="YES", "CRC Stock", "Boutique Stock"))</f>
        <v/>
      </c>
      <c r="K281" s="137" t="str">
        <f>IF(OpenPendingCases[[#This Row],[Timepiece Reference ]]="", "", IF(_xlfn.XLOOKUP(OpenPendingCases[[#This Row],[Timepiece Reference ]], Table1[[Timepiece Reference ]], Table1[CRC STOCK], "Not Found")="YES", "CRC Stock", "Boutique Stock"))</f>
        <v/>
      </c>
      <c r="L281" s="143"/>
      <c r="M281" s="141"/>
      <c r="N281" s="137"/>
      <c r="O281" s="134"/>
      <c r="P281" s="94" t="str">
        <f>IFERROR(VLOOKUP(TRIM(O281), Collection!$B$2:$D$1001, 2, FALSE), "")</f>
        <v/>
      </c>
      <c r="Q281" s="190" t="str">
        <f>IFERROR(VLOOKUP(TRIM(O281), Collection!$B$2:$D$1001, 3, FALSE), "")</f>
        <v/>
      </c>
      <c r="R281" s="153" t="str">
        <f t="shared" si="30"/>
        <v/>
      </c>
      <c r="S281" s="151"/>
      <c r="T281" s="158"/>
      <c r="U281" s="137"/>
      <c r="V281" s="137"/>
      <c r="W281" s="156" t="str">
        <f t="shared" si="34"/>
        <v/>
      </c>
      <c r="X281" s="157"/>
      <c r="Y281" s="158"/>
      <c r="Z281" s="158"/>
      <c r="AA281" s="137" t="str">
        <f t="shared" ca="1" si="35"/>
        <v/>
      </c>
      <c r="AB281" s="137" t="str">
        <f t="shared" ca="1" si="31"/>
        <v/>
      </c>
      <c r="AC281" s="160" t="str">
        <f t="shared" ca="1" si="32"/>
        <v/>
      </c>
      <c r="AD281" s="159" t="str">
        <f t="shared" ca="1" si="33"/>
        <v/>
      </c>
      <c r="AE281" s="161"/>
      <c r="AF281" s="161"/>
      <c r="AG281" s="161"/>
      <c r="AH281" s="137"/>
      <c r="AI281" s="164" t="str">
        <f t="shared" si="36"/>
        <v/>
      </c>
      <c r="AJ281" s="164" t="str">
        <f>IF(AND(OpenPendingCases[[#This Row],[Sale Status	]]="Open Sale",OpenPendingCases[[#This Row],[Potential Same Month]]="High"),TEXT(OpenPendingCases[[#This Row],[Request Entry Date]], "[$-en-us]mmmm"),"")</f>
        <v/>
      </c>
      <c r="AK281" s="165" t="str">
        <f>IFERROR(VALUE(SUBSTITUTE(OpenPendingCases[[#This Row],[Price]]," AED","")),"")</f>
        <v/>
      </c>
      <c r="AL281" s="165" t="str">
        <f>IFERROR(VALUE(LEFT(OpenPendingCases[[#This Row],[Price]],FIND(" ",OpenPendingCases[[#This Row],[Price]])-1)),"")</f>
        <v/>
      </c>
      <c r="AM281" s="165" t="str">
        <f>IFERROR(VALUE(_xlfn.TEXTBEFORE(OpenPendingCases[[#This Row],[Price]]," AED")),"")</f>
        <v/>
      </c>
      <c r="AN281" s="165"/>
    </row>
    <row r="282" spans="3:40" ht="18" hidden="1" x14ac:dyDescent="0.35">
      <c r="C282" s="134"/>
      <c r="D282" s="137" t="str">
        <f>IF($U282="Open Sale", IF(MAX($D$4:D281)+1=0, "", MAX($D$4:D281)+1), "")</f>
        <v/>
      </c>
      <c r="E282" s="137" t="str">
        <f>IF($U282="Pending Allocation", IF(MAX($E$4:E281)+1=0, "", MAX($E$4:E281)+1), "")</f>
        <v/>
      </c>
      <c r="F282" s="137"/>
      <c r="G282" s="137"/>
      <c r="H282" s="150"/>
      <c r="I282" s="150"/>
      <c r="J282" s="68" t="str">
        <f>IF(OpenPendingCases[[#This Row],[Timepiece Reference ]]="", "", IF(_xlfn.XLOOKUP(OpenPendingCases[[#This Row],[Timepiece Reference ]], Table1[[Timepiece Reference ]], Table1[CRC STOCK], "Not Found")="YES", "CRC Stock", "Boutique Stock"))</f>
        <v/>
      </c>
      <c r="K282" s="137" t="str">
        <f>IF(OpenPendingCases[[#This Row],[Timepiece Reference ]]="", "", IF(_xlfn.XLOOKUP(OpenPendingCases[[#This Row],[Timepiece Reference ]], Table1[[Timepiece Reference ]], Table1[CRC STOCK], "Not Found")="YES", "CRC Stock", "Boutique Stock"))</f>
        <v/>
      </c>
      <c r="L282" s="143"/>
      <c r="M282" s="141"/>
      <c r="N282" s="137"/>
      <c r="O282" s="134"/>
      <c r="P282" s="94" t="str">
        <f>IFERROR(VLOOKUP(TRIM(O282), Collection!$B$2:$D$1001, 2, FALSE), "")</f>
        <v/>
      </c>
      <c r="Q282" s="190" t="str">
        <f>IFERROR(VLOOKUP(TRIM(O282), Collection!$B$2:$D$1001, 3, FALSE), "")</f>
        <v/>
      </c>
      <c r="R282" s="153" t="str">
        <f t="shared" si="30"/>
        <v/>
      </c>
      <c r="S282" s="151"/>
      <c r="T282" s="158"/>
      <c r="U282" s="137"/>
      <c r="V282" s="137"/>
      <c r="W282" s="156" t="str">
        <f t="shared" si="34"/>
        <v/>
      </c>
      <c r="X282" s="157"/>
      <c r="Y282" s="158"/>
      <c r="Z282" s="158"/>
      <c r="AA282" s="137" t="str">
        <f t="shared" ca="1" si="35"/>
        <v/>
      </c>
      <c r="AB282" s="137" t="str">
        <f t="shared" ca="1" si="31"/>
        <v/>
      </c>
      <c r="AC282" s="160" t="str">
        <f t="shared" ca="1" si="32"/>
        <v/>
      </c>
      <c r="AD282" s="159" t="str">
        <f t="shared" ca="1" si="33"/>
        <v/>
      </c>
      <c r="AE282" s="161"/>
      <c r="AF282" s="161"/>
      <c r="AG282" s="161"/>
      <c r="AH282" s="137"/>
      <c r="AI282" s="164" t="str">
        <f t="shared" si="36"/>
        <v/>
      </c>
      <c r="AJ282" s="164" t="str">
        <f>IF(AND(OpenPendingCases[[#This Row],[Sale Status	]]="Open Sale",OpenPendingCases[[#This Row],[Potential Same Month]]="High"),TEXT(OpenPendingCases[[#This Row],[Request Entry Date]], "[$-en-us]mmmm"),"")</f>
        <v/>
      </c>
      <c r="AK282" s="165" t="str">
        <f>IFERROR(VALUE(SUBSTITUTE(OpenPendingCases[[#This Row],[Price]]," AED","")),"")</f>
        <v/>
      </c>
      <c r="AL282" s="165" t="str">
        <f>IFERROR(VALUE(LEFT(OpenPendingCases[[#This Row],[Price]],FIND(" ",OpenPendingCases[[#This Row],[Price]])-1)),"")</f>
        <v/>
      </c>
      <c r="AM282" s="165" t="str">
        <f>IFERROR(VALUE(_xlfn.TEXTBEFORE(OpenPendingCases[[#This Row],[Price]]," AED")),"")</f>
        <v/>
      </c>
      <c r="AN282" s="165"/>
    </row>
    <row r="283" spans="3:40" ht="18" hidden="1" x14ac:dyDescent="0.35">
      <c r="C283" s="134"/>
      <c r="D283" s="137" t="str">
        <f>IF($U283="Open Sale", IF(MAX($D$4:D282)+1=0, "", MAX($D$4:D282)+1), "")</f>
        <v/>
      </c>
      <c r="E283" s="137" t="str">
        <f>IF($U283="Pending Allocation", IF(MAX($E$4:E282)+1=0, "", MAX($E$4:E282)+1), "")</f>
        <v/>
      </c>
      <c r="F283" s="137"/>
      <c r="G283" s="137"/>
      <c r="H283" s="150"/>
      <c r="I283" s="150"/>
      <c r="J283" s="68" t="str">
        <f>IF(OpenPendingCases[[#This Row],[Timepiece Reference ]]="", "", IF(_xlfn.XLOOKUP(OpenPendingCases[[#This Row],[Timepiece Reference ]], Table1[[Timepiece Reference ]], Table1[CRC STOCK], "Not Found")="YES", "CRC Stock", "Boutique Stock"))</f>
        <v/>
      </c>
      <c r="K283" s="137" t="str">
        <f>IF(OpenPendingCases[[#This Row],[Timepiece Reference ]]="", "", IF(_xlfn.XLOOKUP(OpenPendingCases[[#This Row],[Timepiece Reference ]], Table1[[Timepiece Reference ]], Table1[CRC STOCK], "Not Found")="YES", "CRC Stock", "Boutique Stock"))</f>
        <v/>
      </c>
      <c r="L283" s="143"/>
      <c r="M283" s="141"/>
      <c r="N283" s="137"/>
      <c r="O283" s="134"/>
      <c r="P283" s="94" t="str">
        <f>IFERROR(VLOOKUP(TRIM(O283), Collection!$B$2:$D$1001, 2, FALSE), "")</f>
        <v/>
      </c>
      <c r="Q283" s="190" t="str">
        <f>IFERROR(VLOOKUP(TRIM(O283), Collection!$B$2:$D$1001, 3, FALSE), "")</f>
        <v/>
      </c>
      <c r="R283" s="153" t="str">
        <f t="shared" si="30"/>
        <v/>
      </c>
      <c r="S283" s="151"/>
      <c r="T283" s="158"/>
      <c r="U283" s="137"/>
      <c r="V283" s="137"/>
      <c r="W283" s="156" t="str">
        <f t="shared" si="34"/>
        <v/>
      </c>
      <c r="X283" s="157"/>
      <c r="Y283" s="158"/>
      <c r="Z283" s="158"/>
      <c r="AA283" s="137" t="str">
        <f t="shared" ca="1" si="35"/>
        <v/>
      </c>
      <c r="AB283" s="137" t="str">
        <f t="shared" ca="1" si="31"/>
        <v/>
      </c>
      <c r="AC283" s="160" t="str">
        <f t="shared" ca="1" si="32"/>
        <v/>
      </c>
      <c r="AD283" s="159" t="str">
        <f t="shared" ca="1" si="33"/>
        <v/>
      </c>
      <c r="AE283" s="161"/>
      <c r="AF283" s="161"/>
      <c r="AG283" s="161"/>
      <c r="AH283" s="137"/>
      <c r="AI283" s="164" t="str">
        <f t="shared" si="36"/>
        <v/>
      </c>
      <c r="AJ283" s="164" t="str">
        <f>IF(AND(OpenPendingCases[[#This Row],[Sale Status	]]="Open Sale",OpenPendingCases[[#This Row],[Potential Same Month]]="High"),TEXT(OpenPendingCases[[#This Row],[Request Entry Date]], "[$-en-us]mmmm"),"")</f>
        <v/>
      </c>
      <c r="AK283" s="165" t="str">
        <f>IFERROR(VALUE(SUBSTITUTE(OpenPendingCases[[#This Row],[Price]]," AED","")),"")</f>
        <v/>
      </c>
      <c r="AL283" s="165" t="str">
        <f>IFERROR(VALUE(LEFT(OpenPendingCases[[#This Row],[Price]],FIND(" ",OpenPendingCases[[#This Row],[Price]])-1)),"")</f>
        <v/>
      </c>
      <c r="AM283" s="165" t="str">
        <f>IFERROR(VALUE(_xlfn.TEXTBEFORE(OpenPendingCases[[#This Row],[Price]]," AED")),"")</f>
        <v/>
      </c>
      <c r="AN283" s="165"/>
    </row>
    <row r="284" spans="3:40" ht="18" hidden="1" x14ac:dyDescent="0.35">
      <c r="C284" s="134"/>
      <c r="D284" s="137" t="str">
        <f>IF($U284="Open Sale", IF(MAX($D$4:D283)+1=0, "", MAX($D$4:D283)+1), "")</f>
        <v/>
      </c>
      <c r="E284" s="137" t="str">
        <f>IF($U284="Pending Allocation", IF(MAX($E$4:E283)+1=0, "", MAX($E$4:E283)+1), "")</f>
        <v/>
      </c>
      <c r="F284" s="137"/>
      <c r="G284" s="137"/>
      <c r="H284" s="150"/>
      <c r="I284" s="150"/>
      <c r="J284" s="68" t="str">
        <f>IF(OpenPendingCases[[#This Row],[Timepiece Reference ]]="", "", IF(_xlfn.XLOOKUP(OpenPendingCases[[#This Row],[Timepiece Reference ]], Table1[[Timepiece Reference ]], Table1[CRC STOCK], "Not Found")="YES", "CRC Stock", "Boutique Stock"))</f>
        <v/>
      </c>
      <c r="K284" s="137" t="str">
        <f>IF(OpenPendingCases[[#This Row],[Timepiece Reference ]]="", "", IF(_xlfn.XLOOKUP(OpenPendingCases[[#This Row],[Timepiece Reference ]], Table1[[Timepiece Reference ]], Table1[CRC STOCK], "Not Found")="YES", "CRC Stock", "Boutique Stock"))</f>
        <v/>
      </c>
      <c r="L284" s="143"/>
      <c r="M284" s="141"/>
      <c r="N284" s="137"/>
      <c r="O284" s="134"/>
      <c r="P284" s="94" t="str">
        <f>IFERROR(VLOOKUP(TRIM(O284), Collection!$B$2:$D$1001, 2, FALSE), "")</f>
        <v/>
      </c>
      <c r="Q284" s="190" t="str">
        <f>IFERROR(VLOOKUP(TRIM(O284), Collection!$B$2:$D$1001, 3, FALSE), "")</f>
        <v/>
      </c>
      <c r="R284" s="153" t="str">
        <f t="shared" si="30"/>
        <v/>
      </c>
      <c r="S284" s="151"/>
      <c r="T284" s="158"/>
      <c r="U284" s="137"/>
      <c r="V284" s="137"/>
      <c r="W284" s="156" t="str">
        <f t="shared" si="34"/>
        <v/>
      </c>
      <c r="X284" s="157"/>
      <c r="Y284" s="158"/>
      <c r="Z284" s="158"/>
      <c r="AA284" s="137" t="str">
        <f t="shared" ca="1" si="35"/>
        <v/>
      </c>
      <c r="AB284" s="137" t="str">
        <f t="shared" ca="1" si="31"/>
        <v/>
      </c>
      <c r="AC284" s="160" t="str">
        <f t="shared" ca="1" si="32"/>
        <v/>
      </c>
      <c r="AD284" s="159" t="str">
        <f t="shared" ca="1" si="33"/>
        <v/>
      </c>
      <c r="AE284" s="161"/>
      <c r="AF284" s="161"/>
      <c r="AG284" s="161"/>
      <c r="AH284" s="137"/>
      <c r="AI284" s="164" t="str">
        <f t="shared" si="36"/>
        <v/>
      </c>
      <c r="AJ284" s="164" t="str">
        <f>IF(AND(OpenPendingCases[[#This Row],[Sale Status	]]="Open Sale",OpenPendingCases[[#This Row],[Potential Same Month]]="High"),TEXT(OpenPendingCases[[#This Row],[Request Entry Date]], "[$-en-us]mmmm"),"")</f>
        <v/>
      </c>
      <c r="AK284" s="165" t="str">
        <f>IFERROR(VALUE(SUBSTITUTE(OpenPendingCases[[#This Row],[Price]]," AED","")),"")</f>
        <v/>
      </c>
      <c r="AL284" s="165" t="str">
        <f>IFERROR(VALUE(LEFT(OpenPendingCases[[#This Row],[Price]],FIND(" ",OpenPendingCases[[#This Row],[Price]])-1)),"")</f>
        <v/>
      </c>
      <c r="AM284" s="165" t="str">
        <f>IFERROR(VALUE(_xlfn.TEXTBEFORE(OpenPendingCases[[#This Row],[Price]]," AED")),"")</f>
        <v/>
      </c>
      <c r="AN284" s="165"/>
    </row>
    <row r="285" spans="3:40" ht="18" hidden="1" x14ac:dyDescent="0.35">
      <c r="C285" s="134"/>
      <c r="D285" s="137" t="str">
        <f>IF($U285="Open Sale", IF(MAX($D$4:D284)+1=0, "", MAX($D$4:D284)+1), "")</f>
        <v/>
      </c>
      <c r="E285" s="137" t="str">
        <f>IF($U285="Pending Allocation", IF(MAX($E$4:E284)+1=0, "", MAX($E$4:E284)+1), "")</f>
        <v/>
      </c>
      <c r="F285" s="137"/>
      <c r="G285" s="137"/>
      <c r="H285" s="150"/>
      <c r="I285" s="150"/>
      <c r="J285" s="68" t="str">
        <f>IF(OpenPendingCases[[#This Row],[Timepiece Reference ]]="", "", IF(_xlfn.XLOOKUP(OpenPendingCases[[#This Row],[Timepiece Reference ]], Table1[[Timepiece Reference ]], Table1[CRC STOCK], "Not Found")="YES", "CRC Stock", "Boutique Stock"))</f>
        <v/>
      </c>
      <c r="K285" s="137" t="str">
        <f>IF(OpenPendingCases[[#This Row],[Timepiece Reference ]]="", "", IF(_xlfn.XLOOKUP(OpenPendingCases[[#This Row],[Timepiece Reference ]], Table1[[Timepiece Reference ]], Table1[CRC STOCK], "Not Found")="YES", "CRC Stock", "Boutique Stock"))</f>
        <v/>
      </c>
      <c r="L285" s="143"/>
      <c r="M285" s="141"/>
      <c r="N285" s="137"/>
      <c r="O285" s="134"/>
      <c r="P285" s="94" t="str">
        <f>IFERROR(VLOOKUP(TRIM(O285), Collection!$B$2:$D$1001, 2, FALSE), "")</f>
        <v/>
      </c>
      <c r="Q285" s="190" t="str">
        <f>IFERROR(VLOOKUP(TRIM(O285), Collection!$B$2:$D$1001, 3, FALSE), "")</f>
        <v/>
      </c>
      <c r="R285" s="153" t="str">
        <f t="shared" si="30"/>
        <v/>
      </c>
      <c r="S285" s="151"/>
      <c r="T285" s="158"/>
      <c r="U285" s="137"/>
      <c r="V285" s="137"/>
      <c r="W285" s="156" t="str">
        <f t="shared" si="34"/>
        <v/>
      </c>
      <c r="X285" s="157"/>
      <c r="Y285" s="158"/>
      <c r="Z285" s="158"/>
      <c r="AA285" s="137" t="str">
        <f t="shared" ca="1" si="35"/>
        <v/>
      </c>
      <c r="AB285" s="137" t="str">
        <f t="shared" ca="1" si="31"/>
        <v/>
      </c>
      <c r="AC285" s="160" t="str">
        <f t="shared" ca="1" si="32"/>
        <v/>
      </c>
      <c r="AD285" s="159" t="str">
        <f t="shared" ca="1" si="33"/>
        <v/>
      </c>
      <c r="AE285" s="161"/>
      <c r="AF285" s="161"/>
      <c r="AG285" s="161"/>
      <c r="AH285" s="137"/>
      <c r="AI285" s="164" t="str">
        <f t="shared" si="36"/>
        <v/>
      </c>
      <c r="AJ285" s="164" t="str">
        <f>IF(AND(OpenPendingCases[[#This Row],[Sale Status	]]="Open Sale",OpenPendingCases[[#This Row],[Potential Same Month]]="High"),TEXT(OpenPendingCases[[#This Row],[Request Entry Date]], "[$-en-us]mmmm"),"")</f>
        <v/>
      </c>
      <c r="AK285" s="165" t="str">
        <f>IFERROR(VALUE(SUBSTITUTE(OpenPendingCases[[#This Row],[Price]]," AED","")),"")</f>
        <v/>
      </c>
      <c r="AL285" s="165" t="str">
        <f>IFERROR(VALUE(LEFT(OpenPendingCases[[#This Row],[Price]],FIND(" ",OpenPendingCases[[#This Row],[Price]])-1)),"")</f>
        <v/>
      </c>
      <c r="AM285" s="165" t="str">
        <f>IFERROR(VALUE(_xlfn.TEXTBEFORE(OpenPendingCases[[#This Row],[Price]]," AED")),"")</f>
        <v/>
      </c>
      <c r="AN285" s="165"/>
    </row>
    <row r="286" spans="3:40" ht="18" hidden="1" x14ac:dyDescent="0.35">
      <c r="C286" s="134"/>
      <c r="D286" s="137" t="str">
        <f>IF($U286="Open Sale", IF(MAX($D$4:D285)+1=0, "", MAX($D$4:D285)+1), "")</f>
        <v/>
      </c>
      <c r="E286" s="137" t="str">
        <f>IF($U286="Pending Allocation", IF(MAX($E$4:E285)+1=0, "", MAX($E$4:E285)+1), "")</f>
        <v/>
      </c>
      <c r="F286" s="137"/>
      <c r="G286" s="137"/>
      <c r="H286" s="150"/>
      <c r="I286" s="150"/>
      <c r="J286" s="68" t="str">
        <f>IF(OpenPendingCases[[#This Row],[Timepiece Reference ]]="", "", IF(_xlfn.XLOOKUP(OpenPendingCases[[#This Row],[Timepiece Reference ]], Table1[[Timepiece Reference ]], Table1[CRC STOCK], "Not Found")="YES", "CRC Stock", "Boutique Stock"))</f>
        <v/>
      </c>
      <c r="K286" s="137" t="str">
        <f>IF(OpenPendingCases[[#This Row],[Timepiece Reference ]]="", "", IF(_xlfn.XLOOKUP(OpenPendingCases[[#This Row],[Timepiece Reference ]], Table1[[Timepiece Reference ]], Table1[CRC STOCK], "Not Found")="YES", "CRC Stock", "Boutique Stock"))</f>
        <v/>
      </c>
      <c r="L286" s="143"/>
      <c r="M286" s="141"/>
      <c r="N286" s="137"/>
      <c r="O286" s="134"/>
      <c r="P286" s="94" t="str">
        <f>IFERROR(VLOOKUP(TRIM(O286), Collection!$B$2:$D$1001, 2, FALSE), "")</f>
        <v/>
      </c>
      <c r="Q286" s="190" t="str">
        <f>IFERROR(VLOOKUP(TRIM(O286), Collection!$B$2:$D$1001, 3, FALSE), "")</f>
        <v/>
      </c>
      <c r="R286" s="153" t="str">
        <f t="shared" si="30"/>
        <v/>
      </c>
      <c r="S286" s="151"/>
      <c r="T286" s="158"/>
      <c r="U286" s="137"/>
      <c r="V286" s="137"/>
      <c r="W286" s="156" t="str">
        <f t="shared" si="34"/>
        <v/>
      </c>
      <c r="X286" s="157"/>
      <c r="Y286" s="158"/>
      <c r="Z286" s="158"/>
      <c r="AA286" s="137" t="str">
        <f t="shared" ca="1" si="35"/>
        <v/>
      </c>
      <c r="AB286" s="137" t="str">
        <f t="shared" ca="1" si="31"/>
        <v/>
      </c>
      <c r="AC286" s="160" t="str">
        <f t="shared" ca="1" si="32"/>
        <v/>
      </c>
      <c r="AD286" s="159" t="str">
        <f t="shared" ca="1" si="33"/>
        <v/>
      </c>
      <c r="AE286" s="161"/>
      <c r="AF286" s="161"/>
      <c r="AG286" s="161"/>
      <c r="AH286" s="137"/>
      <c r="AI286" s="164" t="str">
        <f t="shared" si="36"/>
        <v/>
      </c>
      <c r="AJ286" s="164" t="str">
        <f>IF(AND(OpenPendingCases[[#This Row],[Sale Status	]]="Open Sale",OpenPendingCases[[#This Row],[Potential Same Month]]="High"),TEXT(OpenPendingCases[[#This Row],[Request Entry Date]], "[$-en-us]mmmm"),"")</f>
        <v/>
      </c>
      <c r="AK286" s="165" t="str">
        <f>IFERROR(VALUE(SUBSTITUTE(OpenPendingCases[[#This Row],[Price]]," AED","")),"")</f>
        <v/>
      </c>
      <c r="AL286" s="165" t="str">
        <f>IFERROR(VALUE(LEFT(OpenPendingCases[[#This Row],[Price]],FIND(" ",OpenPendingCases[[#This Row],[Price]])-1)),"")</f>
        <v/>
      </c>
      <c r="AM286" s="165" t="str">
        <f>IFERROR(VALUE(_xlfn.TEXTBEFORE(OpenPendingCases[[#This Row],[Price]]," AED")),"")</f>
        <v/>
      </c>
      <c r="AN286" s="165"/>
    </row>
    <row r="287" spans="3:40" ht="18" hidden="1" x14ac:dyDescent="0.35">
      <c r="C287" s="134"/>
      <c r="D287" s="137" t="str">
        <f>IF($U287="Open Sale", IF(MAX($D$4:D286)+1=0, "", MAX($D$4:D286)+1), "")</f>
        <v/>
      </c>
      <c r="E287" s="137" t="str">
        <f>IF($U287="Pending Allocation", IF(MAX($E$4:E286)+1=0, "", MAX($E$4:E286)+1), "")</f>
        <v/>
      </c>
      <c r="F287" s="137"/>
      <c r="G287" s="137"/>
      <c r="H287" s="150"/>
      <c r="I287" s="150"/>
      <c r="J287" s="68" t="str">
        <f>IF(OpenPendingCases[[#This Row],[Timepiece Reference ]]="", "", IF(_xlfn.XLOOKUP(OpenPendingCases[[#This Row],[Timepiece Reference ]], Table1[[Timepiece Reference ]], Table1[CRC STOCK], "Not Found")="YES", "CRC Stock", "Boutique Stock"))</f>
        <v/>
      </c>
      <c r="K287" s="137" t="str">
        <f>IF(OpenPendingCases[[#This Row],[Timepiece Reference ]]="", "", IF(_xlfn.XLOOKUP(OpenPendingCases[[#This Row],[Timepiece Reference ]], Table1[[Timepiece Reference ]], Table1[CRC STOCK], "Not Found")="YES", "CRC Stock", "Boutique Stock"))</f>
        <v/>
      </c>
      <c r="L287" s="143"/>
      <c r="M287" s="141"/>
      <c r="N287" s="137"/>
      <c r="O287" s="134"/>
      <c r="P287" s="94" t="str">
        <f>IFERROR(VLOOKUP(TRIM(O287), Collection!$B$2:$D$1001, 2, FALSE), "")</f>
        <v/>
      </c>
      <c r="Q287" s="190" t="str">
        <f>IFERROR(VLOOKUP(TRIM(O287), Collection!$B$2:$D$1001, 3, FALSE), "")</f>
        <v/>
      </c>
      <c r="R287" s="153" t="str">
        <f t="shared" si="30"/>
        <v/>
      </c>
      <c r="S287" s="151"/>
      <c r="T287" s="158"/>
      <c r="U287" s="137"/>
      <c r="V287" s="137"/>
      <c r="W287" s="156" t="str">
        <f t="shared" si="34"/>
        <v/>
      </c>
      <c r="X287" s="157"/>
      <c r="Y287" s="158"/>
      <c r="Z287" s="158"/>
      <c r="AA287" s="137" t="str">
        <f t="shared" ca="1" si="35"/>
        <v/>
      </c>
      <c r="AB287" s="137" t="str">
        <f t="shared" ca="1" si="31"/>
        <v/>
      </c>
      <c r="AC287" s="160" t="str">
        <f t="shared" ca="1" si="32"/>
        <v/>
      </c>
      <c r="AD287" s="159" t="str">
        <f t="shared" ca="1" si="33"/>
        <v/>
      </c>
      <c r="AE287" s="161"/>
      <c r="AF287" s="161"/>
      <c r="AG287" s="161"/>
      <c r="AH287" s="137"/>
      <c r="AI287" s="164" t="str">
        <f t="shared" si="36"/>
        <v/>
      </c>
      <c r="AJ287" s="164" t="str">
        <f>IF(AND(OpenPendingCases[[#This Row],[Sale Status	]]="Open Sale",OpenPendingCases[[#This Row],[Potential Same Month]]="High"),TEXT(OpenPendingCases[[#This Row],[Request Entry Date]], "[$-en-us]mmmm"),"")</f>
        <v/>
      </c>
      <c r="AK287" s="165" t="str">
        <f>IFERROR(VALUE(SUBSTITUTE(OpenPendingCases[[#This Row],[Price]]," AED","")),"")</f>
        <v/>
      </c>
      <c r="AL287" s="165" t="str">
        <f>IFERROR(VALUE(LEFT(OpenPendingCases[[#This Row],[Price]],FIND(" ",OpenPendingCases[[#This Row],[Price]])-1)),"")</f>
        <v/>
      </c>
      <c r="AM287" s="165" t="str">
        <f>IFERROR(VALUE(_xlfn.TEXTBEFORE(OpenPendingCases[[#This Row],[Price]]," AED")),"")</f>
        <v/>
      </c>
      <c r="AN287" s="165"/>
    </row>
    <row r="288" spans="3:40" ht="18" hidden="1" x14ac:dyDescent="0.35">
      <c r="C288" s="134"/>
      <c r="D288" s="137" t="str">
        <f>IF($U288="Open Sale", IF(MAX($D$4:D287)+1=0, "", MAX($D$4:D287)+1), "")</f>
        <v/>
      </c>
      <c r="E288" s="137" t="str">
        <f>IF($U288="Pending Allocation", IF(MAX($E$4:E287)+1=0, "", MAX($E$4:E287)+1), "")</f>
        <v/>
      </c>
      <c r="F288" s="137"/>
      <c r="G288" s="137"/>
      <c r="H288" s="150"/>
      <c r="I288" s="150"/>
      <c r="J288" s="68" t="str">
        <f>IF(OpenPendingCases[[#This Row],[Timepiece Reference ]]="", "", IF(_xlfn.XLOOKUP(OpenPendingCases[[#This Row],[Timepiece Reference ]], Table1[[Timepiece Reference ]], Table1[CRC STOCK], "Not Found")="YES", "CRC Stock", "Boutique Stock"))</f>
        <v/>
      </c>
      <c r="K288" s="137" t="str">
        <f>IF(OpenPendingCases[[#This Row],[Timepiece Reference ]]="", "", IF(_xlfn.XLOOKUP(OpenPendingCases[[#This Row],[Timepiece Reference ]], Table1[[Timepiece Reference ]], Table1[CRC STOCK], "Not Found")="YES", "CRC Stock", "Boutique Stock"))</f>
        <v/>
      </c>
      <c r="L288" s="143"/>
      <c r="M288" s="141"/>
      <c r="N288" s="137"/>
      <c r="O288" s="134"/>
      <c r="P288" s="94" t="str">
        <f>IFERROR(VLOOKUP(TRIM(O288), Collection!$B$2:$D$1001, 2, FALSE), "")</f>
        <v/>
      </c>
      <c r="Q288" s="190" t="str">
        <f>IFERROR(VLOOKUP(TRIM(O288), Collection!$B$2:$D$1001, 3, FALSE), "")</f>
        <v/>
      </c>
      <c r="R288" s="153" t="str">
        <f t="shared" si="30"/>
        <v/>
      </c>
      <c r="S288" s="151"/>
      <c r="T288" s="158"/>
      <c r="U288" s="137"/>
      <c r="V288" s="137"/>
      <c r="W288" s="156" t="str">
        <f t="shared" si="34"/>
        <v/>
      </c>
      <c r="X288" s="157"/>
      <c r="Y288" s="158"/>
      <c r="Z288" s="158"/>
      <c r="AA288" s="137" t="str">
        <f t="shared" ca="1" si="35"/>
        <v/>
      </c>
      <c r="AB288" s="137" t="str">
        <f t="shared" ca="1" si="31"/>
        <v/>
      </c>
      <c r="AC288" s="160" t="str">
        <f t="shared" ca="1" si="32"/>
        <v/>
      </c>
      <c r="AD288" s="159" t="str">
        <f t="shared" ca="1" si="33"/>
        <v/>
      </c>
      <c r="AE288" s="161"/>
      <c r="AF288" s="161"/>
      <c r="AG288" s="161"/>
      <c r="AH288" s="137"/>
      <c r="AI288" s="164" t="str">
        <f t="shared" si="36"/>
        <v/>
      </c>
      <c r="AJ288" s="164" t="str">
        <f>IF(AND(OpenPendingCases[[#This Row],[Sale Status	]]="Open Sale",OpenPendingCases[[#This Row],[Potential Same Month]]="High"),TEXT(OpenPendingCases[[#This Row],[Request Entry Date]], "[$-en-us]mmmm"),"")</f>
        <v/>
      </c>
      <c r="AK288" s="165" t="str">
        <f>IFERROR(VALUE(SUBSTITUTE(OpenPendingCases[[#This Row],[Price]]," AED","")),"")</f>
        <v/>
      </c>
      <c r="AL288" s="165" t="str">
        <f>IFERROR(VALUE(LEFT(OpenPendingCases[[#This Row],[Price]],FIND(" ",OpenPendingCases[[#This Row],[Price]])-1)),"")</f>
        <v/>
      </c>
      <c r="AM288" s="165" t="str">
        <f>IFERROR(VALUE(_xlfn.TEXTBEFORE(OpenPendingCases[[#This Row],[Price]]," AED")),"")</f>
        <v/>
      </c>
      <c r="AN288" s="165"/>
    </row>
    <row r="289" spans="3:40" ht="18" hidden="1" x14ac:dyDescent="0.35">
      <c r="C289" s="134"/>
      <c r="D289" s="137" t="str">
        <f>IF($U289="Open Sale", IF(MAX($D$4:D288)+1=0, "", MAX($D$4:D288)+1), "")</f>
        <v/>
      </c>
      <c r="E289" s="137" t="str">
        <f>IF($U289="Pending Allocation", IF(MAX($E$4:E288)+1=0, "", MAX($E$4:E288)+1), "")</f>
        <v/>
      </c>
      <c r="F289" s="137"/>
      <c r="G289" s="137"/>
      <c r="H289" s="150"/>
      <c r="I289" s="150"/>
      <c r="J289" s="68" t="str">
        <f>IF(OpenPendingCases[[#This Row],[Timepiece Reference ]]="", "", IF(_xlfn.XLOOKUP(OpenPendingCases[[#This Row],[Timepiece Reference ]], Table1[[Timepiece Reference ]], Table1[CRC STOCK], "Not Found")="YES", "CRC Stock", "Boutique Stock"))</f>
        <v/>
      </c>
      <c r="K289" s="137" t="str">
        <f>IF(OpenPendingCases[[#This Row],[Timepiece Reference ]]="", "", IF(_xlfn.XLOOKUP(OpenPendingCases[[#This Row],[Timepiece Reference ]], Table1[[Timepiece Reference ]], Table1[CRC STOCK], "Not Found")="YES", "CRC Stock", "Boutique Stock"))</f>
        <v/>
      </c>
      <c r="L289" s="143"/>
      <c r="M289" s="141"/>
      <c r="N289" s="137"/>
      <c r="O289" s="134"/>
      <c r="P289" s="94" t="str">
        <f>IFERROR(VLOOKUP(TRIM(O289), Collection!$B$2:$D$1001, 2, FALSE), "")</f>
        <v/>
      </c>
      <c r="Q289" s="190" t="str">
        <f>IFERROR(VLOOKUP(TRIM(O289), Collection!$B$2:$D$1001, 3, FALSE), "")</f>
        <v/>
      </c>
      <c r="R289" s="153" t="str">
        <f t="shared" si="30"/>
        <v/>
      </c>
      <c r="S289" s="151"/>
      <c r="T289" s="158"/>
      <c r="U289" s="137"/>
      <c r="V289" s="137"/>
      <c r="W289" s="156" t="str">
        <f t="shared" si="34"/>
        <v/>
      </c>
      <c r="X289" s="157"/>
      <c r="Y289" s="158"/>
      <c r="Z289" s="158"/>
      <c r="AA289" s="137" t="str">
        <f t="shared" ca="1" si="35"/>
        <v/>
      </c>
      <c r="AB289" s="137" t="str">
        <f t="shared" ca="1" si="31"/>
        <v/>
      </c>
      <c r="AC289" s="160" t="str">
        <f t="shared" ca="1" si="32"/>
        <v/>
      </c>
      <c r="AD289" s="159" t="str">
        <f t="shared" ca="1" si="33"/>
        <v/>
      </c>
      <c r="AE289" s="161"/>
      <c r="AF289" s="161"/>
      <c r="AG289" s="161"/>
      <c r="AH289" s="137"/>
      <c r="AI289" s="164" t="str">
        <f t="shared" si="36"/>
        <v/>
      </c>
      <c r="AJ289" s="164" t="str">
        <f>IF(AND(OpenPendingCases[[#This Row],[Sale Status	]]="Open Sale",OpenPendingCases[[#This Row],[Potential Same Month]]="High"),TEXT(OpenPendingCases[[#This Row],[Request Entry Date]], "[$-en-us]mmmm"),"")</f>
        <v/>
      </c>
      <c r="AK289" s="165" t="str">
        <f>IFERROR(VALUE(SUBSTITUTE(OpenPendingCases[[#This Row],[Price]]," AED","")),"")</f>
        <v/>
      </c>
      <c r="AL289" s="165" t="str">
        <f>IFERROR(VALUE(LEFT(OpenPendingCases[[#This Row],[Price]],FIND(" ",OpenPendingCases[[#This Row],[Price]])-1)),"")</f>
        <v/>
      </c>
      <c r="AM289" s="165" t="str">
        <f>IFERROR(VALUE(_xlfn.TEXTBEFORE(OpenPendingCases[[#This Row],[Price]]," AED")),"")</f>
        <v/>
      </c>
      <c r="AN289" s="165"/>
    </row>
    <row r="290" spans="3:40" ht="18" hidden="1" x14ac:dyDescent="0.35">
      <c r="C290" s="134"/>
      <c r="D290" s="137" t="str">
        <f>IF($U290="Open Sale", IF(MAX($D$4:D289)+1=0, "", MAX($D$4:D289)+1), "")</f>
        <v/>
      </c>
      <c r="E290" s="137" t="str">
        <f>IF($U290="Pending Allocation", IF(MAX($E$4:E289)+1=0, "", MAX($E$4:E289)+1), "")</f>
        <v/>
      </c>
      <c r="F290" s="137"/>
      <c r="G290" s="137"/>
      <c r="H290" s="150"/>
      <c r="I290" s="150"/>
      <c r="J290" s="68" t="str">
        <f>IF(OpenPendingCases[[#This Row],[Timepiece Reference ]]="", "", IF(_xlfn.XLOOKUP(OpenPendingCases[[#This Row],[Timepiece Reference ]], Table1[[Timepiece Reference ]], Table1[CRC STOCK], "Not Found")="YES", "CRC Stock", "Boutique Stock"))</f>
        <v/>
      </c>
      <c r="K290" s="137" t="str">
        <f>IF(OpenPendingCases[[#This Row],[Timepiece Reference ]]="", "", IF(_xlfn.XLOOKUP(OpenPendingCases[[#This Row],[Timepiece Reference ]], Table1[[Timepiece Reference ]], Table1[CRC STOCK], "Not Found")="YES", "CRC Stock", "Boutique Stock"))</f>
        <v/>
      </c>
      <c r="L290" s="143"/>
      <c r="M290" s="141"/>
      <c r="N290" s="137"/>
      <c r="O290" s="134"/>
      <c r="P290" s="94" t="str">
        <f>IFERROR(VLOOKUP(TRIM(O290), Collection!$B$2:$D$1001, 2, FALSE), "")</f>
        <v/>
      </c>
      <c r="Q290" s="190" t="str">
        <f>IFERROR(VLOOKUP(TRIM(O290), Collection!$B$2:$D$1001, 3, FALSE), "")</f>
        <v/>
      </c>
      <c r="R290" s="153" t="str">
        <f t="shared" si="30"/>
        <v/>
      </c>
      <c r="S290" s="151"/>
      <c r="T290" s="158"/>
      <c r="U290" s="137"/>
      <c r="V290" s="137"/>
      <c r="W290" s="156" t="str">
        <f t="shared" si="34"/>
        <v/>
      </c>
      <c r="X290" s="157"/>
      <c r="Y290" s="158"/>
      <c r="Z290" s="158"/>
      <c r="AA290" s="137" t="str">
        <f t="shared" ca="1" si="35"/>
        <v/>
      </c>
      <c r="AB290" s="137" t="str">
        <f t="shared" ca="1" si="31"/>
        <v/>
      </c>
      <c r="AC290" s="160" t="str">
        <f t="shared" ca="1" si="32"/>
        <v/>
      </c>
      <c r="AD290" s="159" t="str">
        <f t="shared" ca="1" si="33"/>
        <v/>
      </c>
      <c r="AE290" s="161"/>
      <c r="AF290" s="161"/>
      <c r="AG290" s="161"/>
      <c r="AH290" s="137"/>
      <c r="AI290" s="164" t="str">
        <f t="shared" si="36"/>
        <v/>
      </c>
      <c r="AJ290" s="164" t="str">
        <f>IF(AND(OpenPendingCases[[#This Row],[Sale Status	]]="Open Sale",OpenPendingCases[[#This Row],[Potential Same Month]]="High"),TEXT(OpenPendingCases[[#This Row],[Request Entry Date]], "[$-en-us]mmmm"),"")</f>
        <v/>
      </c>
      <c r="AK290" s="165" t="str">
        <f>IFERROR(VALUE(SUBSTITUTE(OpenPendingCases[[#This Row],[Price]]," AED","")),"")</f>
        <v/>
      </c>
      <c r="AL290" s="165" t="str">
        <f>IFERROR(VALUE(LEFT(OpenPendingCases[[#This Row],[Price]],FIND(" ",OpenPendingCases[[#This Row],[Price]])-1)),"")</f>
        <v/>
      </c>
      <c r="AM290" s="165" t="str">
        <f>IFERROR(VALUE(_xlfn.TEXTBEFORE(OpenPendingCases[[#This Row],[Price]]," AED")),"")</f>
        <v/>
      </c>
      <c r="AN290" s="165"/>
    </row>
    <row r="291" spans="3:40" ht="18" hidden="1" x14ac:dyDescent="0.35">
      <c r="C291" s="134"/>
      <c r="D291" s="137" t="str">
        <f>IF($U291="Open Sale", IF(MAX($D$4:D290)+1=0, "", MAX($D$4:D290)+1), "")</f>
        <v/>
      </c>
      <c r="E291" s="137" t="str">
        <f>IF($U291="Pending Allocation", IF(MAX($E$4:E290)+1=0, "", MAX($E$4:E290)+1), "")</f>
        <v/>
      </c>
      <c r="F291" s="137"/>
      <c r="G291" s="137"/>
      <c r="H291" s="150"/>
      <c r="I291" s="150"/>
      <c r="J291" s="68" t="str">
        <f>IF(OpenPendingCases[[#This Row],[Timepiece Reference ]]="", "", IF(_xlfn.XLOOKUP(OpenPendingCases[[#This Row],[Timepiece Reference ]], Table1[[Timepiece Reference ]], Table1[CRC STOCK], "Not Found")="YES", "CRC Stock", "Boutique Stock"))</f>
        <v/>
      </c>
      <c r="K291" s="137" t="str">
        <f>IF(OpenPendingCases[[#This Row],[Timepiece Reference ]]="", "", IF(_xlfn.XLOOKUP(OpenPendingCases[[#This Row],[Timepiece Reference ]], Table1[[Timepiece Reference ]], Table1[CRC STOCK], "Not Found")="YES", "CRC Stock", "Boutique Stock"))</f>
        <v/>
      </c>
      <c r="L291" s="143"/>
      <c r="M291" s="141"/>
      <c r="N291" s="137"/>
      <c r="O291" s="134"/>
      <c r="P291" s="94" t="str">
        <f>IFERROR(VLOOKUP(TRIM(O291), Collection!$B$2:$D$1001, 2, FALSE), "")</f>
        <v/>
      </c>
      <c r="Q291" s="190" t="str">
        <f>IFERROR(VLOOKUP(TRIM(O291), Collection!$B$2:$D$1001, 3, FALSE), "")</f>
        <v/>
      </c>
      <c r="R291" s="153" t="str">
        <f t="shared" si="30"/>
        <v/>
      </c>
      <c r="S291" s="151"/>
      <c r="T291" s="158"/>
      <c r="U291" s="137"/>
      <c r="V291" s="137"/>
      <c r="W291" s="156" t="str">
        <f t="shared" si="34"/>
        <v/>
      </c>
      <c r="X291" s="157"/>
      <c r="Y291" s="158"/>
      <c r="Z291" s="158"/>
      <c r="AA291" s="137" t="str">
        <f t="shared" ca="1" si="35"/>
        <v/>
      </c>
      <c r="AB291" s="137" t="str">
        <f t="shared" ca="1" si="31"/>
        <v/>
      </c>
      <c r="AC291" s="160" t="str">
        <f t="shared" ca="1" si="32"/>
        <v/>
      </c>
      <c r="AD291" s="159" t="str">
        <f t="shared" ca="1" si="33"/>
        <v/>
      </c>
      <c r="AE291" s="161"/>
      <c r="AF291" s="161"/>
      <c r="AG291" s="161"/>
      <c r="AH291" s="137"/>
      <c r="AI291" s="164" t="str">
        <f t="shared" si="36"/>
        <v/>
      </c>
      <c r="AJ291" s="164" t="str">
        <f>IF(AND(OpenPendingCases[[#This Row],[Sale Status	]]="Open Sale",OpenPendingCases[[#This Row],[Potential Same Month]]="High"),TEXT(OpenPendingCases[[#This Row],[Request Entry Date]], "[$-en-us]mmmm"),"")</f>
        <v/>
      </c>
      <c r="AK291" s="165" t="str">
        <f>IFERROR(VALUE(SUBSTITUTE(OpenPendingCases[[#This Row],[Price]]," AED","")),"")</f>
        <v/>
      </c>
      <c r="AL291" s="165" t="str">
        <f>IFERROR(VALUE(LEFT(OpenPendingCases[[#This Row],[Price]],FIND(" ",OpenPendingCases[[#This Row],[Price]])-1)),"")</f>
        <v/>
      </c>
      <c r="AM291" s="165" t="str">
        <f>IFERROR(VALUE(_xlfn.TEXTBEFORE(OpenPendingCases[[#This Row],[Price]]," AED")),"")</f>
        <v/>
      </c>
      <c r="AN291" s="165"/>
    </row>
    <row r="292" spans="3:40" ht="18" hidden="1" x14ac:dyDescent="0.35">
      <c r="C292" s="134"/>
      <c r="D292" s="137" t="str">
        <f>IF($U292="Open Sale", IF(MAX($D$4:D291)+1=0, "", MAX($D$4:D291)+1), "")</f>
        <v/>
      </c>
      <c r="E292" s="137" t="str">
        <f>IF($U292="Pending Allocation", IF(MAX($E$4:E291)+1=0, "", MAX($E$4:E291)+1), "")</f>
        <v/>
      </c>
      <c r="F292" s="137"/>
      <c r="G292" s="137"/>
      <c r="H292" s="150"/>
      <c r="I292" s="150"/>
      <c r="J292" s="68" t="str">
        <f>IF(OpenPendingCases[[#This Row],[Timepiece Reference ]]="", "", IF(_xlfn.XLOOKUP(OpenPendingCases[[#This Row],[Timepiece Reference ]], Table1[[Timepiece Reference ]], Table1[CRC STOCK], "Not Found")="YES", "CRC Stock", "Boutique Stock"))</f>
        <v/>
      </c>
      <c r="K292" s="137" t="str">
        <f>IF(OpenPendingCases[[#This Row],[Timepiece Reference ]]="", "", IF(_xlfn.XLOOKUP(OpenPendingCases[[#This Row],[Timepiece Reference ]], Table1[[Timepiece Reference ]], Table1[CRC STOCK], "Not Found")="YES", "CRC Stock", "Boutique Stock"))</f>
        <v/>
      </c>
      <c r="L292" s="143"/>
      <c r="M292" s="141"/>
      <c r="N292" s="137"/>
      <c r="O292" s="134"/>
      <c r="P292" s="94" t="str">
        <f>IFERROR(VLOOKUP(TRIM(O292), Collection!$B$2:$D$1001, 2, FALSE), "")</f>
        <v/>
      </c>
      <c r="Q292" s="190" t="str">
        <f>IFERROR(VLOOKUP(TRIM(O292), Collection!$B$2:$D$1001, 3, FALSE), "")</f>
        <v/>
      </c>
      <c r="R292" s="153" t="str">
        <f t="shared" si="30"/>
        <v/>
      </c>
      <c r="S292" s="151"/>
      <c r="T292" s="158"/>
      <c r="U292" s="137"/>
      <c r="V292" s="137"/>
      <c r="W292" s="156" t="str">
        <f t="shared" si="34"/>
        <v/>
      </c>
      <c r="X292" s="157"/>
      <c r="Y292" s="158"/>
      <c r="Z292" s="158"/>
      <c r="AA292" s="137" t="str">
        <f t="shared" ca="1" si="35"/>
        <v/>
      </c>
      <c r="AB292" s="137" t="str">
        <f t="shared" ca="1" si="31"/>
        <v/>
      </c>
      <c r="AC292" s="160" t="str">
        <f t="shared" ca="1" si="32"/>
        <v/>
      </c>
      <c r="AD292" s="159" t="str">
        <f t="shared" ca="1" si="33"/>
        <v/>
      </c>
      <c r="AE292" s="161"/>
      <c r="AF292" s="161"/>
      <c r="AG292" s="161"/>
      <c r="AH292" s="137"/>
      <c r="AI292" s="164" t="str">
        <f t="shared" si="36"/>
        <v/>
      </c>
      <c r="AJ292" s="164" t="str">
        <f>IF(AND(OpenPendingCases[[#This Row],[Sale Status	]]="Open Sale",OpenPendingCases[[#This Row],[Potential Same Month]]="High"),TEXT(OpenPendingCases[[#This Row],[Request Entry Date]], "[$-en-us]mmmm"),"")</f>
        <v/>
      </c>
      <c r="AK292" s="165" t="str">
        <f>IFERROR(VALUE(SUBSTITUTE(OpenPendingCases[[#This Row],[Price]]," AED","")),"")</f>
        <v/>
      </c>
      <c r="AL292" s="165" t="str">
        <f>IFERROR(VALUE(LEFT(OpenPendingCases[[#This Row],[Price]],FIND(" ",OpenPendingCases[[#This Row],[Price]])-1)),"")</f>
        <v/>
      </c>
      <c r="AM292" s="165" t="str">
        <f>IFERROR(VALUE(_xlfn.TEXTBEFORE(OpenPendingCases[[#This Row],[Price]]," AED")),"")</f>
        <v/>
      </c>
      <c r="AN292" s="165"/>
    </row>
    <row r="293" spans="3:40" ht="18" hidden="1" x14ac:dyDescent="0.35">
      <c r="C293" s="134"/>
      <c r="D293" s="137" t="str">
        <f>IF($U293="Open Sale", IF(MAX($D$4:D292)+1=0, "", MAX($D$4:D292)+1), "")</f>
        <v/>
      </c>
      <c r="E293" s="137" t="str">
        <f>IF($U293="Pending Allocation", IF(MAX($E$4:E292)+1=0, "", MAX($E$4:E292)+1), "")</f>
        <v/>
      </c>
      <c r="F293" s="137"/>
      <c r="G293" s="137"/>
      <c r="H293" s="150"/>
      <c r="I293" s="150"/>
      <c r="J293" s="68" t="str">
        <f>IF(OpenPendingCases[[#This Row],[Timepiece Reference ]]="", "", IF(_xlfn.XLOOKUP(OpenPendingCases[[#This Row],[Timepiece Reference ]], Table1[[Timepiece Reference ]], Table1[CRC STOCK], "Not Found")="YES", "CRC Stock", "Boutique Stock"))</f>
        <v/>
      </c>
      <c r="K293" s="137" t="str">
        <f>IF(OpenPendingCases[[#This Row],[Timepiece Reference ]]="", "", IF(_xlfn.XLOOKUP(OpenPendingCases[[#This Row],[Timepiece Reference ]], Table1[[Timepiece Reference ]], Table1[CRC STOCK], "Not Found")="YES", "CRC Stock", "Boutique Stock"))</f>
        <v/>
      </c>
      <c r="L293" s="143"/>
      <c r="M293" s="141"/>
      <c r="N293" s="137"/>
      <c r="O293" s="134"/>
      <c r="P293" s="94" t="str">
        <f>IFERROR(VLOOKUP(TRIM(O293), Collection!$B$2:$D$1001, 2, FALSE), "")</f>
        <v/>
      </c>
      <c r="Q293" s="190" t="str">
        <f>IFERROR(VLOOKUP(TRIM(O293), Collection!$B$2:$D$1001, 3, FALSE), "")</f>
        <v/>
      </c>
      <c r="R293" s="153" t="str">
        <f t="shared" si="30"/>
        <v/>
      </c>
      <c r="S293" s="151"/>
      <c r="T293" s="158"/>
      <c r="U293" s="137"/>
      <c r="V293" s="137"/>
      <c r="W293" s="156" t="str">
        <f t="shared" si="34"/>
        <v/>
      </c>
      <c r="X293" s="157"/>
      <c r="Y293" s="158"/>
      <c r="Z293" s="158"/>
      <c r="AA293" s="137" t="str">
        <f t="shared" ca="1" si="35"/>
        <v/>
      </c>
      <c r="AB293" s="137" t="str">
        <f t="shared" ca="1" si="31"/>
        <v/>
      </c>
      <c r="AC293" s="160" t="str">
        <f t="shared" ca="1" si="32"/>
        <v/>
      </c>
      <c r="AD293" s="159" t="str">
        <f t="shared" ca="1" si="33"/>
        <v/>
      </c>
      <c r="AE293" s="161"/>
      <c r="AF293" s="161"/>
      <c r="AG293" s="161"/>
      <c r="AH293" s="137"/>
      <c r="AI293" s="164" t="str">
        <f t="shared" si="36"/>
        <v/>
      </c>
      <c r="AJ293" s="164" t="str">
        <f>IF(AND(OpenPendingCases[[#This Row],[Sale Status	]]="Open Sale",OpenPendingCases[[#This Row],[Potential Same Month]]="High"),TEXT(OpenPendingCases[[#This Row],[Request Entry Date]], "[$-en-us]mmmm"),"")</f>
        <v/>
      </c>
      <c r="AK293" s="165" t="str">
        <f>IFERROR(VALUE(SUBSTITUTE(OpenPendingCases[[#This Row],[Price]]," AED","")),"")</f>
        <v/>
      </c>
      <c r="AL293" s="165" t="str">
        <f>IFERROR(VALUE(LEFT(OpenPendingCases[[#This Row],[Price]],FIND(" ",OpenPendingCases[[#This Row],[Price]])-1)),"")</f>
        <v/>
      </c>
      <c r="AM293" s="165" t="str">
        <f>IFERROR(VALUE(_xlfn.TEXTBEFORE(OpenPendingCases[[#This Row],[Price]]," AED")),"")</f>
        <v/>
      </c>
      <c r="AN293" s="165"/>
    </row>
    <row r="294" spans="3:40" ht="18" hidden="1" x14ac:dyDescent="0.35">
      <c r="C294" s="134"/>
      <c r="D294" s="137" t="str">
        <f>IF($U294="Open Sale", IF(MAX($D$4:D293)+1=0, "", MAX($D$4:D293)+1), "")</f>
        <v/>
      </c>
      <c r="E294" s="137" t="str">
        <f>IF($U294="Pending Allocation", IF(MAX($E$4:E293)+1=0, "", MAX($E$4:E293)+1), "")</f>
        <v/>
      </c>
      <c r="F294" s="137"/>
      <c r="G294" s="137"/>
      <c r="H294" s="150"/>
      <c r="I294" s="150"/>
      <c r="J294" s="68" t="str">
        <f>IF(OpenPendingCases[[#This Row],[Timepiece Reference ]]="", "", IF(_xlfn.XLOOKUP(OpenPendingCases[[#This Row],[Timepiece Reference ]], Table1[[Timepiece Reference ]], Table1[CRC STOCK], "Not Found")="YES", "CRC Stock", "Boutique Stock"))</f>
        <v/>
      </c>
      <c r="K294" s="137" t="str">
        <f>IF(OpenPendingCases[[#This Row],[Timepiece Reference ]]="", "", IF(_xlfn.XLOOKUP(OpenPendingCases[[#This Row],[Timepiece Reference ]], Table1[[Timepiece Reference ]], Table1[CRC STOCK], "Not Found")="YES", "CRC Stock", "Boutique Stock"))</f>
        <v/>
      </c>
      <c r="L294" s="143"/>
      <c r="M294" s="141"/>
      <c r="N294" s="137"/>
      <c r="O294" s="134"/>
      <c r="P294" s="94" t="str">
        <f>IFERROR(VLOOKUP(TRIM(O294), Collection!$B$2:$D$1001, 2, FALSE), "")</f>
        <v/>
      </c>
      <c r="Q294" s="190" t="str">
        <f>IFERROR(VLOOKUP(TRIM(O294), Collection!$B$2:$D$1001, 3, FALSE), "")</f>
        <v/>
      </c>
      <c r="R294" s="153" t="str">
        <f t="shared" si="30"/>
        <v/>
      </c>
      <c r="S294" s="151"/>
      <c r="T294" s="158"/>
      <c r="U294" s="137"/>
      <c r="V294" s="137"/>
      <c r="W294" s="156" t="str">
        <f t="shared" si="34"/>
        <v/>
      </c>
      <c r="X294" s="157"/>
      <c r="Y294" s="158"/>
      <c r="Z294" s="158"/>
      <c r="AA294" s="137" t="str">
        <f t="shared" ca="1" si="35"/>
        <v/>
      </c>
      <c r="AB294" s="137" t="str">
        <f t="shared" ca="1" si="31"/>
        <v/>
      </c>
      <c r="AC294" s="160" t="str">
        <f t="shared" ca="1" si="32"/>
        <v/>
      </c>
      <c r="AD294" s="159" t="str">
        <f t="shared" ca="1" si="33"/>
        <v/>
      </c>
      <c r="AE294" s="161"/>
      <c r="AF294" s="161"/>
      <c r="AG294" s="161"/>
      <c r="AH294" s="137"/>
      <c r="AI294" s="164" t="str">
        <f t="shared" si="36"/>
        <v/>
      </c>
      <c r="AJ294" s="164" t="str">
        <f>IF(AND(OpenPendingCases[[#This Row],[Sale Status	]]="Open Sale",OpenPendingCases[[#This Row],[Potential Same Month]]="High"),TEXT(OpenPendingCases[[#This Row],[Request Entry Date]], "[$-en-us]mmmm"),"")</f>
        <v/>
      </c>
      <c r="AK294" s="165" t="str">
        <f>IFERROR(VALUE(SUBSTITUTE(OpenPendingCases[[#This Row],[Price]]," AED","")),"")</f>
        <v/>
      </c>
      <c r="AL294" s="165" t="str">
        <f>IFERROR(VALUE(LEFT(OpenPendingCases[[#This Row],[Price]],FIND(" ",OpenPendingCases[[#This Row],[Price]])-1)),"")</f>
        <v/>
      </c>
      <c r="AM294" s="165" t="str">
        <f>IFERROR(VALUE(_xlfn.TEXTBEFORE(OpenPendingCases[[#This Row],[Price]]," AED")),"")</f>
        <v/>
      </c>
      <c r="AN294" s="165"/>
    </row>
    <row r="295" spans="3:40" ht="18" hidden="1" x14ac:dyDescent="0.35">
      <c r="C295" s="134"/>
      <c r="D295" s="137" t="str">
        <f>IF($U295="Open Sale", IF(MAX($D$4:D294)+1=0, "", MAX($D$4:D294)+1), "")</f>
        <v/>
      </c>
      <c r="E295" s="137" t="str">
        <f>IF($U295="Pending Allocation", IF(MAX($E$4:E294)+1=0, "", MAX($E$4:E294)+1), "")</f>
        <v/>
      </c>
      <c r="F295" s="137"/>
      <c r="G295" s="137"/>
      <c r="H295" s="150"/>
      <c r="I295" s="150"/>
      <c r="J295" s="68" t="str">
        <f>IF(OpenPendingCases[[#This Row],[Timepiece Reference ]]="", "", IF(_xlfn.XLOOKUP(OpenPendingCases[[#This Row],[Timepiece Reference ]], Table1[[Timepiece Reference ]], Table1[CRC STOCK], "Not Found")="YES", "CRC Stock", "Boutique Stock"))</f>
        <v/>
      </c>
      <c r="K295" s="137" t="str">
        <f>IF(OpenPendingCases[[#This Row],[Timepiece Reference ]]="", "", IF(_xlfn.XLOOKUP(OpenPendingCases[[#This Row],[Timepiece Reference ]], Table1[[Timepiece Reference ]], Table1[CRC STOCK], "Not Found")="YES", "CRC Stock", "Boutique Stock"))</f>
        <v/>
      </c>
      <c r="L295" s="143"/>
      <c r="M295" s="141"/>
      <c r="N295" s="137"/>
      <c r="O295" s="134"/>
      <c r="P295" s="94" t="str">
        <f>IFERROR(VLOOKUP(TRIM(O295), Collection!$B$2:$D$1001, 2, FALSE), "")</f>
        <v/>
      </c>
      <c r="Q295" s="190" t="str">
        <f>IFERROR(VLOOKUP(TRIM(O295), Collection!$B$2:$D$1001, 3, FALSE), "")</f>
        <v/>
      </c>
      <c r="R295" s="153" t="str">
        <f t="shared" si="30"/>
        <v/>
      </c>
      <c r="S295" s="151"/>
      <c r="T295" s="158"/>
      <c r="U295" s="137"/>
      <c r="V295" s="137"/>
      <c r="W295" s="156" t="str">
        <f t="shared" si="34"/>
        <v/>
      </c>
      <c r="X295" s="157"/>
      <c r="Y295" s="158"/>
      <c r="Z295" s="158"/>
      <c r="AA295" s="137" t="str">
        <f t="shared" ca="1" si="35"/>
        <v/>
      </c>
      <c r="AB295" s="137" t="str">
        <f t="shared" ca="1" si="31"/>
        <v/>
      </c>
      <c r="AC295" s="160" t="str">
        <f t="shared" ca="1" si="32"/>
        <v/>
      </c>
      <c r="AD295" s="159" t="str">
        <f t="shared" ca="1" si="33"/>
        <v/>
      </c>
      <c r="AE295" s="161"/>
      <c r="AF295" s="161"/>
      <c r="AG295" s="161"/>
      <c r="AH295" s="137"/>
      <c r="AI295" s="164" t="str">
        <f t="shared" si="36"/>
        <v/>
      </c>
      <c r="AJ295" s="164" t="str">
        <f>IF(AND(OpenPendingCases[[#This Row],[Sale Status	]]="Open Sale",OpenPendingCases[[#This Row],[Potential Same Month]]="High"),TEXT(OpenPendingCases[[#This Row],[Request Entry Date]], "[$-en-us]mmmm"),"")</f>
        <v/>
      </c>
      <c r="AK295" s="165" t="str">
        <f>IFERROR(VALUE(SUBSTITUTE(OpenPendingCases[[#This Row],[Price]]," AED","")),"")</f>
        <v/>
      </c>
      <c r="AL295" s="165" t="str">
        <f>IFERROR(VALUE(LEFT(OpenPendingCases[[#This Row],[Price]],FIND(" ",OpenPendingCases[[#This Row],[Price]])-1)),"")</f>
        <v/>
      </c>
      <c r="AM295" s="165" t="str">
        <f>IFERROR(VALUE(_xlfn.TEXTBEFORE(OpenPendingCases[[#This Row],[Price]]," AED")),"")</f>
        <v/>
      </c>
      <c r="AN295" s="165"/>
    </row>
    <row r="296" spans="3:40" ht="18" hidden="1" x14ac:dyDescent="0.35">
      <c r="C296" s="134"/>
      <c r="D296" s="137" t="str">
        <f>IF($U296="Open Sale", IF(MAX($D$4:D295)+1=0, "", MAX($D$4:D295)+1), "")</f>
        <v/>
      </c>
      <c r="E296" s="137" t="str">
        <f>IF($U296="Pending Allocation", IF(MAX($E$4:E295)+1=0, "", MAX($E$4:E295)+1), "")</f>
        <v/>
      </c>
      <c r="F296" s="137"/>
      <c r="G296" s="137"/>
      <c r="H296" s="150"/>
      <c r="I296" s="150"/>
      <c r="J296" s="68" t="str">
        <f>IF(OpenPendingCases[[#This Row],[Timepiece Reference ]]="", "", IF(_xlfn.XLOOKUP(OpenPendingCases[[#This Row],[Timepiece Reference ]], Table1[[Timepiece Reference ]], Table1[CRC STOCK], "Not Found")="YES", "CRC Stock", "Boutique Stock"))</f>
        <v/>
      </c>
      <c r="K296" s="137" t="str">
        <f>IF(OpenPendingCases[[#This Row],[Timepiece Reference ]]="", "", IF(_xlfn.XLOOKUP(OpenPendingCases[[#This Row],[Timepiece Reference ]], Table1[[Timepiece Reference ]], Table1[CRC STOCK], "Not Found")="YES", "CRC Stock", "Boutique Stock"))</f>
        <v/>
      </c>
      <c r="L296" s="143"/>
      <c r="M296" s="141"/>
      <c r="N296" s="137"/>
      <c r="O296" s="134"/>
      <c r="P296" s="94" t="str">
        <f>IFERROR(VLOOKUP(TRIM(O296), Collection!$B$2:$D$1001, 2, FALSE), "")</f>
        <v/>
      </c>
      <c r="Q296" s="190" t="str">
        <f>IFERROR(VLOOKUP(TRIM(O296), Collection!$B$2:$D$1001, 3, FALSE), "")</f>
        <v/>
      </c>
      <c r="R296" s="153" t="str">
        <f t="shared" si="30"/>
        <v/>
      </c>
      <c r="S296" s="151"/>
      <c r="T296" s="158"/>
      <c r="U296" s="137"/>
      <c r="V296" s="137"/>
      <c r="W296" s="156" t="str">
        <f t="shared" si="34"/>
        <v/>
      </c>
      <c r="X296" s="157"/>
      <c r="Y296" s="158"/>
      <c r="Z296" s="158"/>
      <c r="AA296" s="137" t="str">
        <f t="shared" ca="1" si="35"/>
        <v/>
      </c>
      <c r="AB296" s="137" t="str">
        <f t="shared" ca="1" si="31"/>
        <v/>
      </c>
      <c r="AC296" s="160" t="str">
        <f t="shared" ca="1" si="32"/>
        <v/>
      </c>
      <c r="AD296" s="159" t="str">
        <f t="shared" ca="1" si="33"/>
        <v/>
      </c>
      <c r="AE296" s="161"/>
      <c r="AF296" s="161"/>
      <c r="AG296" s="161"/>
      <c r="AH296" s="137"/>
      <c r="AI296" s="164" t="str">
        <f t="shared" si="36"/>
        <v/>
      </c>
      <c r="AJ296" s="164" t="str">
        <f>IF(AND(OpenPendingCases[[#This Row],[Sale Status	]]="Open Sale",OpenPendingCases[[#This Row],[Potential Same Month]]="High"),TEXT(OpenPendingCases[[#This Row],[Request Entry Date]], "[$-en-us]mmmm"),"")</f>
        <v/>
      </c>
      <c r="AK296" s="165" t="str">
        <f>IFERROR(VALUE(SUBSTITUTE(OpenPendingCases[[#This Row],[Price]]," AED","")),"")</f>
        <v/>
      </c>
      <c r="AL296" s="165" t="str">
        <f>IFERROR(VALUE(LEFT(OpenPendingCases[[#This Row],[Price]],FIND(" ",OpenPendingCases[[#This Row],[Price]])-1)),"")</f>
        <v/>
      </c>
      <c r="AM296" s="165" t="str">
        <f>IFERROR(VALUE(_xlfn.TEXTBEFORE(OpenPendingCases[[#This Row],[Price]]," AED")),"")</f>
        <v/>
      </c>
      <c r="AN296" s="165"/>
    </row>
    <row r="297" spans="3:40" ht="18" hidden="1" x14ac:dyDescent="0.35">
      <c r="C297" s="134"/>
      <c r="D297" s="137" t="str">
        <f>IF($U297="Open Sale", IF(MAX($D$4:D296)+1=0, "", MAX($D$4:D296)+1), "")</f>
        <v/>
      </c>
      <c r="E297" s="137" t="str">
        <f>IF($U297="Pending Allocation", IF(MAX($E$4:E296)+1=0, "", MAX($E$4:E296)+1), "")</f>
        <v/>
      </c>
      <c r="F297" s="137"/>
      <c r="G297" s="137"/>
      <c r="H297" s="150"/>
      <c r="I297" s="150"/>
      <c r="J297" s="68" t="str">
        <f>IF(OpenPendingCases[[#This Row],[Timepiece Reference ]]="", "", IF(_xlfn.XLOOKUP(OpenPendingCases[[#This Row],[Timepiece Reference ]], Table1[[Timepiece Reference ]], Table1[CRC STOCK], "Not Found")="YES", "CRC Stock", "Boutique Stock"))</f>
        <v/>
      </c>
      <c r="K297" s="137" t="str">
        <f>IF(OpenPendingCases[[#This Row],[Timepiece Reference ]]="", "", IF(_xlfn.XLOOKUP(OpenPendingCases[[#This Row],[Timepiece Reference ]], Table1[[Timepiece Reference ]], Table1[CRC STOCK], "Not Found")="YES", "CRC Stock", "Boutique Stock"))</f>
        <v/>
      </c>
      <c r="L297" s="143"/>
      <c r="M297" s="141"/>
      <c r="N297" s="137"/>
      <c r="O297" s="134"/>
      <c r="P297" s="94" t="str">
        <f>IFERROR(VLOOKUP(TRIM(O297), Collection!$B$2:$D$1001, 2, FALSE), "")</f>
        <v/>
      </c>
      <c r="Q297" s="190" t="str">
        <f>IFERROR(VLOOKUP(TRIM(O297), Collection!$B$2:$D$1001, 3, FALSE), "")</f>
        <v/>
      </c>
      <c r="R297" s="153" t="str">
        <f t="shared" si="30"/>
        <v/>
      </c>
      <c r="S297" s="151"/>
      <c r="T297" s="158"/>
      <c r="U297" s="137"/>
      <c r="V297" s="137"/>
      <c r="W297" s="156" t="str">
        <f t="shared" si="34"/>
        <v/>
      </c>
      <c r="X297" s="157"/>
      <c r="Y297" s="158"/>
      <c r="Z297" s="158"/>
      <c r="AA297" s="137" t="str">
        <f t="shared" ca="1" si="35"/>
        <v/>
      </c>
      <c r="AB297" s="137" t="str">
        <f t="shared" ca="1" si="31"/>
        <v/>
      </c>
      <c r="AC297" s="160" t="str">
        <f t="shared" ca="1" si="32"/>
        <v/>
      </c>
      <c r="AD297" s="159" t="str">
        <f t="shared" ca="1" si="33"/>
        <v/>
      </c>
      <c r="AE297" s="161"/>
      <c r="AF297" s="161"/>
      <c r="AG297" s="161"/>
      <c r="AH297" s="137"/>
      <c r="AI297" s="164" t="str">
        <f t="shared" si="36"/>
        <v/>
      </c>
      <c r="AJ297" s="164" t="str">
        <f>IF(AND(OpenPendingCases[[#This Row],[Sale Status	]]="Open Sale",OpenPendingCases[[#This Row],[Potential Same Month]]="High"),TEXT(OpenPendingCases[[#This Row],[Request Entry Date]], "[$-en-us]mmmm"),"")</f>
        <v/>
      </c>
      <c r="AK297" s="165" t="str">
        <f>IFERROR(VALUE(SUBSTITUTE(OpenPendingCases[[#This Row],[Price]]," AED","")),"")</f>
        <v/>
      </c>
      <c r="AL297" s="165" t="str">
        <f>IFERROR(VALUE(LEFT(OpenPendingCases[[#This Row],[Price]],FIND(" ",OpenPendingCases[[#This Row],[Price]])-1)),"")</f>
        <v/>
      </c>
      <c r="AM297" s="165" t="str">
        <f>IFERROR(VALUE(_xlfn.TEXTBEFORE(OpenPendingCases[[#This Row],[Price]]," AED")),"")</f>
        <v/>
      </c>
      <c r="AN297" s="165"/>
    </row>
    <row r="298" spans="3:40" ht="18" hidden="1" x14ac:dyDescent="0.35">
      <c r="C298" s="134"/>
      <c r="D298" s="137" t="str">
        <f>IF($U298="Open Sale", IF(MAX($D$4:D297)+1=0, "", MAX($D$4:D297)+1), "")</f>
        <v/>
      </c>
      <c r="E298" s="137" t="str">
        <f>IF($U298="Pending Allocation", IF(MAX($E$4:E297)+1=0, "", MAX($E$4:E297)+1), "")</f>
        <v/>
      </c>
      <c r="F298" s="137"/>
      <c r="G298" s="137"/>
      <c r="H298" s="150"/>
      <c r="I298" s="150"/>
      <c r="J298" s="68" t="str">
        <f>IF(OpenPendingCases[[#This Row],[Timepiece Reference ]]="", "", IF(_xlfn.XLOOKUP(OpenPendingCases[[#This Row],[Timepiece Reference ]], Table1[[Timepiece Reference ]], Table1[CRC STOCK], "Not Found")="YES", "CRC Stock", "Boutique Stock"))</f>
        <v/>
      </c>
      <c r="K298" s="137" t="str">
        <f>IF(OpenPendingCases[[#This Row],[Timepiece Reference ]]="", "", IF(_xlfn.XLOOKUP(OpenPendingCases[[#This Row],[Timepiece Reference ]], Table1[[Timepiece Reference ]], Table1[CRC STOCK], "Not Found")="YES", "CRC Stock", "Boutique Stock"))</f>
        <v/>
      </c>
      <c r="L298" s="143"/>
      <c r="M298" s="141"/>
      <c r="N298" s="137"/>
      <c r="O298" s="134"/>
      <c r="P298" s="94" t="str">
        <f>IFERROR(VLOOKUP(TRIM(O298), Collection!$B$2:$D$1001, 2, FALSE), "")</f>
        <v/>
      </c>
      <c r="Q298" s="190" t="str">
        <f>IFERROR(VLOOKUP(TRIM(O298), Collection!$B$2:$D$1001, 3, FALSE), "")</f>
        <v/>
      </c>
      <c r="R298" s="153" t="str">
        <f t="shared" si="30"/>
        <v/>
      </c>
      <c r="S298" s="151"/>
      <c r="T298" s="158"/>
      <c r="U298" s="137"/>
      <c r="V298" s="137"/>
      <c r="W298" s="156" t="str">
        <f t="shared" si="34"/>
        <v/>
      </c>
      <c r="X298" s="157"/>
      <c r="Y298" s="158"/>
      <c r="Z298" s="158"/>
      <c r="AA298" s="137" t="str">
        <f t="shared" ca="1" si="35"/>
        <v/>
      </c>
      <c r="AB298" s="137" t="str">
        <f t="shared" ca="1" si="31"/>
        <v/>
      </c>
      <c r="AC298" s="160" t="str">
        <f t="shared" ca="1" si="32"/>
        <v/>
      </c>
      <c r="AD298" s="159" t="str">
        <f t="shared" ca="1" si="33"/>
        <v/>
      </c>
      <c r="AE298" s="161"/>
      <c r="AF298" s="161"/>
      <c r="AG298" s="161"/>
      <c r="AH298" s="137"/>
      <c r="AI298" s="164" t="str">
        <f t="shared" si="36"/>
        <v/>
      </c>
      <c r="AJ298" s="164" t="str">
        <f>IF(AND(OpenPendingCases[[#This Row],[Sale Status	]]="Open Sale",OpenPendingCases[[#This Row],[Potential Same Month]]="High"),TEXT(OpenPendingCases[[#This Row],[Request Entry Date]], "[$-en-us]mmmm"),"")</f>
        <v/>
      </c>
      <c r="AK298" s="165" t="str">
        <f>IFERROR(VALUE(SUBSTITUTE(OpenPendingCases[[#This Row],[Price]]," AED","")),"")</f>
        <v/>
      </c>
      <c r="AL298" s="165" t="str">
        <f>IFERROR(VALUE(LEFT(OpenPendingCases[[#This Row],[Price]],FIND(" ",OpenPendingCases[[#This Row],[Price]])-1)),"")</f>
        <v/>
      </c>
      <c r="AM298" s="165" t="str">
        <f>IFERROR(VALUE(_xlfn.TEXTBEFORE(OpenPendingCases[[#This Row],[Price]]," AED")),"")</f>
        <v/>
      </c>
      <c r="AN298" s="165"/>
    </row>
    <row r="299" spans="3:40" ht="18" hidden="1" x14ac:dyDescent="0.35">
      <c r="C299" s="134"/>
      <c r="D299" s="137" t="str">
        <f>IF($U299="Open Sale", IF(MAX($D$4:D298)+1=0, "", MAX($D$4:D298)+1), "")</f>
        <v/>
      </c>
      <c r="E299" s="137" t="str">
        <f>IF($U299="Pending Allocation", IF(MAX($E$4:E298)+1=0, "", MAX($E$4:E298)+1), "")</f>
        <v/>
      </c>
      <c r="F299" s="137"/>
      <c r="G299" s="137"/>
      <c r="H299" s="150"/>
      <c r="I299" s="150"/>
      <c r="J299" s="68" t="str">
        <f>IF(OpenPendingCases[[#This Row],[Timepiece Reference ]]="", "", IF(_xlfn.XLOOKUP(OpenPendingCases[[#This Row],[Timepiece Reference ]], Table1[[Timepiece Reference ]], Table1[CRC STOCK], "Not Found")="YES", "CRC Stock", "Boutique Stock"))</f>
        <v/>
      </c>
      <c r="K299" s="137" t="str">
        <f>IF(OpenPendingCases[[#This Row],[Timepiece Reference ]]="", "", IF(_xlfn.XLOOKUP(OpenPendingCases[[#This Row],[Timepiece Reference ]], Table1[[Timepiece Reference ]], Table1[CRC STOCK], "Not Found")="YES", "CRC Stock", "Boutique Stock"))</f>
        <v/>
      </c>
      <c r="L299" s="143"/>
      <c r="M299" s="141"/>
      <c r="N299" s="137"/>
      <c r="O299" s="134"/>
      <c r="P299" s="94" t="str">
        <f>IFERROR(VLOOKUP(TRIM(O299), Collection!$B$2:$D$1001, 2, FALSE), "")</f>
        <v/>
      </c>
      <c r="Q299" s="190" t="str">
        <f>IFERROR(VLOOKUP(TRIM(O299), Collection!$B$2:$D$1001, 3, FALSE), "")</f>
        <v/>
      </c>
      <c r="R299" s="153" t="str">
        <f t="shared" si="30"/>
        <v/>
      </c>
      <c r="S299" s="151"/>
      <c r="T299" s="158"/>
      <c r="U299" s="137"/>
      <c r="V299" s="137"/>
      <c r="W299" s="156" t="str">
        <f t="shared" si="34"/>
        <v/>
      </c>
      <c r="X299" s="157"/>
      <c r="Y299" s="158"/>
      <c r="Z299" s="158"/>
      <c r="AA299" s="137" t="str">
        <f t="shared" ca="1" si="35"/>
        <v/>
      </c>
      <c r="AB299" s="137" t="str">
        <f t="shared" ca="1" si="31"/>
        <v/>
      </c>
      <c r="AC299" s="160" t="str">
        <f t="shared" ca="1" si="32"/>
        <v/>
      </c>
      <c r="AD299" s="159" t="str">
        <f t="shared" ca="1" si="33"/>
        <v/>
      </c>
      <c r="AE299" s="161"/>
      <c r="AF299" s="161"/>
      <c r="AG299" s="161"/>
      <c r="AH299" s="137"/>
      <c r="AI299" s="164" t="str">
        <f t="shared" si="36"/>
        <v/>
      </c>
      <c r="AJ299" s="164" t="str">
        <f>IF(AND(OpenPendingCases[[#This Row],[Sale Status	]]="Open Sale",OpenPendingCases[[#This Row],[Potential Same Month]]="High"),TEXT(OpenPendingCases[[#This Row],[Request Entry Date]], "[$-en-us]mmmm"),"")</f>
        <v/>
      </c>
      <c r="AK299" s="165" t="str">
        <f>IFERROR(VALUE(SUBSTITUTE(OpenPendingCases[[#This Row],[Price]]," AED","")),"")</f>
        <v/>
      </c>
      <c r="AL299" s="165" t="str">
        <f>IFERROR(VALUE(LEFT(OpenPendingCases[[#This Row],[Price]],FIND(" ",OpenPendingCases[[#This Row],[Price]])-1)),"")</f>
        <v/>
      </c>
      <c r="AM299" s="165" t="str">
        <f>IFERROR(VALUE(_xlfn.TEXTBEFORE(OpenPendingCases[[#This Row],[Price]]," AED")),"")</f>
        <v/>
      </c>
      <c r="AN299" s="165"/>
    </row>
    <row r="300" spans="3:40" ht="18" hidden="1" x14ac:dyDescent="0.35">
      <c r="C300" s="134"/>
      <c r="D300" s="137" t="str">
        <f>IF($U300="Open Sale", IF(MAX($D$4:D299)+1=0, "", MAX($D$4:D299)+1), "")</f>
        <v/>
      </c>
      <c r="E300" s="137" t="str">
        <f>IF($U300="Pending Allocation", IF(MAX($E$4:E299)+1=0, "", MAX($E$4:E299)+1), "")</f>
        <v/>
      </c>
      <c r="F300" s="137"/>
      <c r="G300" s="137"/>
      <c r="H300" s="150"/>
      <c r="I300" s="150"/>
      <c r="J300" s="68" t="str">
        <f>IF(OpenPendingCases[[#This Row],[Timepiece Reference ]]="", "", IF(_xlfn.XLOOKUP(OpenPendingCases[[#This Row],[Timepiece Reference ]], Table1[[Timepiece Reference ]], Table1[CRC STOCK], "Not Found")="YES", "CRC Stock", "Boutique Stock"))</f>
        <v/>
      </c>
      <c r="K300" s="137" t="str">
        <f>IF(OpenPendingCases[[#This Row],[Timepiece Reference ]]="", "", IF(_xlfn.XLOOKUP(OpenPendingCases[[#This Row],[Timepiece Reference ]], Table1[[Timepiece Reference ]], Table1[CRC STOCK], "Not Found")="YES", "CRC Stock", "Boutique Stock"))</f>
        <v/>
      </c>
      <c r="L300" s="143"/>
      <c r="M300" s="141"/>
      <c r="N300" s="137"/>
      <c r="O300" s="134"/>
      <c r="P300" s="94" t="str">
        <f>IFERROR(VLOOKUP(TRIM(O300), Collection!$B$2:$D$1001, 2, FALSE), "")</f>
        <v/>
      </c>
      <c r="Q300" s="190" t="str">
        <f>IFERROR(VLOOKUP(TRIM(O300), Collection!$B$2:$D$1001, 3, FALSE), "")</f>
        <v/>
      </c>
      <c r="R300" s="153" t="str">
        <f t="shared" si="30"/>
        <v/>
      </c>
      <c r="S300" s="151"/>
      <c r="T300" s="158"/>
      <c r="U300" s="137"/>
      <c r="V300" s="137"/>
      <c r="W300" s="156" t="str">
        <f t="shared" si="34"/>
        <v/>
      </c>
      <c r="X300" s="157"/>
      <c r="Y300" s="158"/>
      <c r="Z300" s="158"/>
      <c r="AA300" s="137" t="str">
        <f t="shared" ca="1" si="35"/>
        <v/>
      </c>
      <c r="AB300" s="137" t="str">
        <f t="shared" ca="1" si="31"/>
        <v/>
      </c>
      <c r="AC300" s="160" t="str">
        <f t="shared" ca="1" si="32"/>
        <v/>
      </c>
      <c r="AD300" s="159" t="str">
        <f t="shared" ca="1" si="33"/>
        <v/>
      </c>
      <c r="AE300" s="161"/>
      <c r="AF300" s="161"/>
      <c r="AG300" s="161"/>
      <c r="AH300" s="137"/>
      <c r="AI300" s="164" t="str">
        <f t="shared" si="36"/>
        <v/>
      </c>
      <c r="AJ300" s="164" t="str">
        <f>IF(AND(OpenPendingCases[[#This Row],[Sale Status	]]="Open Sale",OpenPendingCases[[#This Row],[Potential Same Month]]="High"),TEXT(OpenPendingCases[[#This Row],[Request Entry Date]], "[$-en-us]mmmm"),"")</f>
        <v/>
      </c>
      <c r="AK300" s="165" t="str">
        <f>IFERROR(VALUE(SUBSTITUTE(OpenPendingCases[[#This Row],[Price]]," AED","")),"")</f>
        <v/>
      </c>
      <c r="AL300" s="165" t="str">
        <f>IFERROR(VALUE(LEFT(OpenPendingCases[[#This Row],[Price]],FIND(" ",OpenPendingCases[[#This Row],[Price]])-1)),"")</f>
        <v/>
      </c>
      <c r="AM300" s="165" t="str">
        <f>IFERROR(VALUE(_xlfn.TEXTBEFORE(OpenPendingCases[[#This Row],[Price]]," AED")),"")</f>
        <v/>
      </c>
      <c r="AN300" s="165"/>
    </row>
    <row r="301" spans="3:40" ht="18" hidden="1" x14ac:dyDescent="0.35">
      <c r="C301" s="134"/>
      <c r="D301" s="137" t="str">
        <f>IF($U301="Open Sale", IF(MAX($D$4:D300)+1=0, "", MAX($D$4:D300)+1), "")</f>
        <v/>
      </c>
      <c r="E301" s="137" t="str">
        <f>IF($U301="Pending Allocation", IF(MAX($E$4:E300)+1=0, "", MAX($E$4:E300)+1), "")</f>
        <v/>
      </c>
      <c r="F301" s="137"/>
      <c r="G301" s="137"/>
      <c r="H301" s="150"/>
      <c r="I301" s="150"/>
      <c r="J301" s="68" t="str">
        <f>IF(OpenPendingCases[[#This Row],[Timepiece Reference ]]="", "", IF(_xlfn.XLOOKUP(OpenPendingCases[[#This Row],[Timepiece Reference ]], Table1[[Timepiece Reference ]], Table1[CRC STOCK], "Not Found")="YES", "CRC Stock", "Boutique Stock"))</f>
        <v/>
      </c>
      <c r="K301" s="137" t="str">
        <f>IF(OpenPendingCases[[#This Row],[Timepiece Reference ]]="", "", IF(_xlfn.XLOOKUP(OpenPendingCases[[#This Row],[Timepiece Reference ]], Table1[[Timepiece Reference ]], Table1[CRC STOCK], "Not Found")="YES", "CRC Stock", "Boutique Stock"))</f>
        <v/>
      </c>
      <c r="L301" s="143"/>
      <c r="M301" s="141"/>
      <c r="N301" s="137"/>
      <c r="O301" s="134"/>
      <c r="P301" s="94" t="str">
        <f>IFERROR(VLOOKUP(TRIM(O301), Collection!$B$2:$D$1001, 2, FALSE), "")</f>
        <v/>
      </c>
      <c r="Q301" s="190" t="str">
        <f>IFERROR(VLOOKUP(TRIM(O301), Collection!$B$2:$D$1001, 3, FALSE), "")</f>
        <v/>
      </c>
      <c r="R301" s="153" t="str">
        <f t="shared" si="30"/>
        <v/>
      </c>
      <c r="S301" s="151"/>
      <c r="T301" s="158"/>
      <c r="U301" s="137"/>
      <c r="V301" s="137"/>
      <c r="W301" s="156" t="str">
        <f t="shared" si="34"/>
        <v/>
      </c>
      <c r="X301" s="157"/>
      <c r="Y301" s="158"/>
      <c r="Z301" s="158"/>
      <c r="AA301" s="137" t="str">
        <f t="shared" ca="1" si="35"/>
        <v/>
      </c>
      <c r="AB301" s="137" t="str">
        <f t="shared" ca="1" si="31"/>
        <v/>
      </c>
      <c r="AC301" s="160" t="str">
        <f t="shared" ca="1" si="32"/>
        <v/>
      </c>
      <c r="AD301" s="159" t="str">
        <f t="shared" ca="1" si="33"/>
        <v/>
      </c>
      <c r="AE301" s="161"/>
      <c r="AF301" s="161"/>
      <c r="AG301" s="161"/>
      <c r="AH301" s="137"/>
      <c r="AI301" s="164" t="str">
        <f t="shared" si="36"/>
        <v/>
      </c>
      <c r="AJ301" s="164" t="str">
        <f>IF(AND(OpenPendingCases[[#This Row],[Sale Status	]]="Open Sale",OpenPendingCases[[#This Row],[Potential Same Month]]="High"),TEXT(OpenPendingCases[[#This Row],[Request Entry Date]], "[$-en-us]mmmm"),"")</f>
        <v/>
      </c>
      <c r="AK301" s="165" t="str">
        <f>IFERROR(VALUE(SUBSTITUTE(OpenPendingCases[[#This Row],[Price]]," AED","")),"")</f>
        <v/>
      </c>
      <c r="AL301" s="165" t="str">
        <f>IFERROR(VALUE(LEFT(OpenPendingCases[[#This Row],[Price]],FIND(" ",OpenPendingCases[[#This Row],[Price]])-1)),"")</f>
        <v/>
      </c>
      <c r="AM301" s="165" t="str">
        <f>IFERROR(VALUE(_xlfn.TEXTBEFORE(OpenPendingCases[[#This Row],[Price]]," AED")),"")</f>
        <v/>
      </c>
      <c r="AN301" s="165"/>
    </row>
    <row r="302" spans="3:40" ht="18" hidden="1" x14ac:dyDescent="0.35">
      <c r="C302" s="134"/>
      <c r="D302" s="137" t="str">
        <f>IF($U302="Open Sale", IF(MAX($D$4:D301)+1=0, "", MAX($D$4:D301)+1), "")</f>
        <v/>
      </c>
      <c r="E302" s="137" t="str">
        <f>IF($U302="Pending Allocation", IF(MAX($E$4:E301)+1=0, "", MAX($E$4:E301)+1), "")</f>
        <v/>
      </c>
      <c r="F302" s="137"/>
      <c r="G302" s="137"/>
      <c r="H302" s="150"/>
      <c r="I302" s="150"/>
      <c r="J302" s="68" t="str">
        <f>IF(OpenPendingCases[[#This Row],[Timepiece Reference ]]="", "", IF(_xlfn.XLOOKUP(OpenPendingCases[[#This Row],[Timepiece Reference ]], Table1[[Timepiece Reference ]], Table1[CRC STOCK], "Not Found")="YES", "CRC Stock", "Boutique Stock"))</f>
        <v/>
      </c>
      <c r="K302" s="137" t="str">
        <f>IF(OpenPendingCases[[#This Row],[Timepiece Reference ]]="", "", IF(_xlfn.XLOOKUP(OpenPendingCases[[#This Row],[Timepiece Reference ]], Table1[[Timepiece Reference ]], Table1[CRC STOCK], "Not Found")="YES", "CRC Stock", "Boutique Stock"))</f>
        <v/>
      </c>
      <c r="L302" s="143"/>
      <c r="M302" s="141"/>
      <c r="N302" s="137"/>
      <c r="O302" s="134"/>
      <c r="P302" s="94" t="str">
        <f>IFERROR(VLOOKUP(TRIM(O302), Collection!$B$2:$D$1001, 2, FALSE), "")</f>
        <v/>
      </c>
      <c r="Q302" s="190" t="str">
        <f>IFERROR(VLOOKUP(TRIM(O302), Collection!$B$2:$D$1001, 3, FALSE), "")</f>
        <v/>
      </c>
      <c r="R302" s="153" t="str">
        <f t="shared" si="30"/>
        <v/>
      </c>
      <c r="S302" s="151"/>
      <c r="T302" s="158"/>
      <c r="U302" s="137"/>
      <c r="V302" s="137"/>
      <c r="W302" s="156" t="str">
        <f t="shared" si="34"/>
        <v/>
      </c>
      <c r="X302" s="157"/>
      <c r="Y302" s="158"/>
      <c r="Z302" s="158"/>
      <c r="AA302" s="137" t="str">
        <f t="shared" ca="1" si="35"/>
        <v/>
      </c>
      <c r="AB302" s="137" t="str">
        <f t="shared" ca="1" si="31"/>
        <v/>
      </c>
      <c r="AC302" s="160" t="str">
        <f t="shared" ca="1" si="32"/>
        <v/>
      </c>
      <c r="AD302" s="159" t="str">
        <f t="shared" ca="1" si="33"/>
        <v/>
      </c>
      <c r="AE302" s="161"/>
      <c r="AF302" s="161"/>
      <c r="AG302" s="161"/>
      <c r="AH302" s="137"/>
      <c r="AI302" s="164" t="str">
        <f t="shared" si="36"/>
        <v/>
      </c>
      <c r="AJ302" s="164" t="str">
        <f>IF(AND(OpenPendingCases[[#This Row],[Sale Status	]]="Open Sale",OpenPendingCases[[#This Row],[Potential Same Month]]="High"),TEXT(OpenPendingCases[[#This Row],[Request Entry Date]], "[$-en-us]mmmm"),"")</f>
        <v/>
      </c>
      <c r="AK302" s="165" t="str">
        <f>IFERROR(VALUE(SUBSTITUTE(OpenPendingCases[[#This Row],[Price]]," AED","")),"")</f>
        <v/>
      </c>
      <c r="AL302" s="165" t="str">
        <f>IFERROR(VALUE(LEFT(OpenPendingCases[[#This Row],[Price]],FIND(" ",OpenPendingCases[[#This Row],[Price]])-1)),"")</f>
        <v/>
      </c>
      <c r="AM302" s="165" t="str">
        <f>IFERROR(VALUE(_xlfn.TEXTBEFORE(OpenPendingCases[[#This Row],[Price]]," AED")),"")</f>
        <v/>
      </c>
      <c r="AN302" s="165"/>
    </row>
    <row r="303" spans="3:40" ht="18" hidden="1" x14ac:dyDescent="0.35">
      <c r="C303" s="134"/>
      <c r="D303" s="137" t="str">
        <f>IF($U303="Open Sale", IF(MAX($D$4:D302)+1=0, "", MAX($D$4:D302)+1), "")</f>
        <v/>
      </c>
      <c r="E303" s="137" t="str">
        <f>IF($U303="Pending Allocation", IF(MAX($E$4:E302)+1=0, "", MAX($E$4:E302)+1), "")</f>
        <v/>
      </c>
      <c r="F303" s="137"/>
      <c r="G303" s="137"/>
      <c r="H303" s="150"/>
      <c r="I303" s="150"/>
      <c r="J303" s="68" t="str">
        <f>IF(OpenPendingCases[[#This Row],[Timepiece Reference ]]="", "", IF(_xlfn.XLOOKUP(OpenPendingCases[[#This Row],[Timepiece Reference ]], Table1[[Timepiece Reference ]], Table1[CRC STOCK], "Not Found")="YES", "CRC Stock", "Boutique Stock"))</f>
        <v/>
      </c>
      <c r="K303" s="137" t="str">
        <f>IF(OpenPendingCases[[#This Row],[Timepiece Reference ]]="", "", IF(_xlfn.XLOOKUP(OpenPendingCases[[#This Row],[Timepiece Reference ]], Table1[[Timepiece Reference ]], Table1[CRC STOCK], "Not Found")="YES", "CRC Stock", "Boutique Stock"))</f>
        <v/>
      </c>
      <c r="L303" s="143"/>
      <c r="M303" s="141"/>
      <c r="N303" s="137"/>
      <c r="O303" s="134"/>
      <c r="P303" s="94" t="str">
        <f>IFERROR(VLOOKUP(TRIM(O303), Collection!$B$2:$D$1001, 2, FALSE), "")</f>
        <v/>
      </c>
      <c r="Q303" s="190" t="str">
        <f>IFERROR(VLOOKUP(TRIM(O303), Collection!$B$2:$D$1001, 3, FALSE), "")</f>
        <v/>
      </c>
      <c r="R303" s="153" t="str">
        <f t="shared" si="30"/>
        <v/>
      </c>
      <c r="S303" s="151"/>
      <c r="T303" s="158"/>
      <c r="U303" s="137"/>
      <c r="V303" s="137"/>
      <c r="W303" s="156" t="str">
        <f t="shared" si="34"/>
        <v/>
      </c>
      <c r="X303" s="157"/>
      <c r="Y303" s="158"/>
      <c r="Z303" s="158"/>
      <c r="AA303" s="137" t="str">
        <f t="shared" ca="1" si="35"/>
        <v/>
      </c>
      <c r="AB303" s="137" t="str">
        <f t="shared" ca="1" si="31"/>
        <v/>
      </c>
      <c r="AC303" s="160" t="str">
        <f t="shared" ca="1" si="32"/>
        <v/>
      </c>
      <c r="AD303" s="159" t="str">
        <f t="shared" ca="1" si="33"/>
        <v/>
      </c>
      <c r="AE303" s="161"/>
      <c r="AF303" s="161"/>
      <c r="AG303" s="161"/>
      <c r="AH303" s="137"/>
      <c r="AI303" s="164" t="str">
        <f t="shared" si="36"/>
        <v/>
      </c>
      <c r="AJ303" s="164" t="str">
        <f>IF(AND(OpenPendingCases[[#This Row],[Sale Status	]]="Open Sale",OpenPendingCases[[#This Row],[Potential Same Month]]="High"),TEXT(OpenPendingCases[[#This Row],[Request Entry Date]], "[$-en-us]mmmm"),"")</f>
        <v/>
      </c>
      <c r="AK303" s="165" t="str">
        <f>IFERROR(VALUE(SUBSTITUTE(OpenPendingCases[[#This Row],[Price]]," AED","")),"")</f>
        <v/>
      </c>
      <c r="AL303" s="165" t="str">
        <f>IFERROR(VALUE(LEFT(OpenPendingCases[[#This Row],[Price]],FIND(" ",OpenPendingCases[[#This Row],[Price]])-1)),"")</f>
        <v/>
      </c>
      <c r="AM303" s="165" t="str">
        <f>IFERROR(VALUE(_xlfn.TEXTBEFORE(OpenPendingCases[[#This Row],[Price]]," AED")),"")</f>
        <v/>
      </c>
      <c r="AN303" s="165"/>
    </row>
    <row r="304" spans="3:40" ht="18" hidden="1" x14ac:dyDescent="0.35">
      <c r="C304" s="134"/>
      <c r="D304" s="137" t="str">
        <f>IF($U304="Open Sale", IF(MAX($D$4:D303)+1=0, "", MAX($D$4:D303)+1), "")</f>
        <v/>
      </c>
      <c r="E304" s="137" t="str">
        <f>IF($U304="Pending Allocation", IF(MAX($E$4:E303)+1=0, "", MAX($E$4:E303)+1), "")</f>
        <v/>
      </c>
      <c r="F304" s="137"/>
      <c r="G304" s="137"/>
      <c r="H304" s="150"/>
      <c r="I304" s="150"/>
      <c r="J304" s="68" t="str">
        <f>IF(OpenPendingCases[[#This Row],[Timepiece Reference ]]="", "", IF(_xlfn.XLOOKUP(OpenPendingCases[[#This Row],[Timepiece Reference ]], Table1[[Timepiece Reference ]], Table1[CRC STOCK], "Not Found")="YES", "CRC Stock", "Boutique Stock"))</f>
        <v/>
      </c>
      <c r="K304" s="137" t="str">
        <f>IF(OpenPendingCases[[#This Row],[Timepiece Reference ]]="", "", IF(_xlfn.XLOOKUP(OpenPendingCases[[#This Row],[Timepiece Reference ]], Table1[[Timepiece Reference ]], Table1[CRC STOCK], "Not Found")="YES", "CRC Stock", "Boutique Stock"))</f>
        <v/>
      </c>
      <c r="L304" s="143"/>
      <c r="M304" s="141"/>
      <c r="N304" s="137"/>
      <c r="O304" s="134"/>
      <c r="P304" s="94" t="str">
        <f>IFERROR(VLOOKUP(TRIM(O304), Collection!$B$2:$D$1001, 2, FALSE), "")</f>
        <v/>
      </c>
      <c r="Q304" s="190" t="str">
        <f>IFERROR(VLOOKUP(TRIM(O304), Collection!$B$2:$D$1001, 3, FALSE), "")</f>
        <v/>
      </c>
      <c r="R304" s="153" t="str">
        <f t="shared" si="30"/>
        <v/>
      </c>
      <c r="S304" s="151"/>
      <c r="T304" s="158"/>
      <c r="U304" s="137"/>
      <c r="V304" s="137"/>
      <c r="W304" s="156" t="str">
        <f t="shared" si="34"/>
        <v/>
      </c>
      <c r="X304" s="157"/>
      <c r="Y304" s="158"/>
      <c r="Z304" s="158"/>
      <c r="AA304" s="137" t="str">
        <f t="shared" ca="1" si="35"/>
        <v/>
      </c>
      <c r="AB304" s="137" t="str">
        <f t="shared" ca="1" si="31"/>
        <v/>
      </c>
      <c r="AC304" s="160" t="str">
        <f t="shared" ca="1" si="32"/>
        <v/>
      </c>
      <c r="AD304" s="159" t="str">
        <f t="shared" ca="1" si="33"/>
        <v/>
      </c>
      <c r="AE304" s="161"/>
      <c r="AF304" s="161"/>
      <c r="AG304" s="161"/>
      <c r="AH304" s="137"/>
      <c r="AI304" s="164" t="str">
        <f t="shared" si="36"/>
        <v/>
      </c>
      <c r="AJ304" s="164" t="str">
        <f>IF(AND(OpenPendingCases[[#This Row],[Sale Status	]]="Open Sale",OpenPendingCases[[#This Row],[Potential Same Month]]="High"),TEXT(OpenPendingCases[[#This Row],[Request Entry Date]], "[$-en-us]mmmm"),"")</f>
        <v/>
      </c>
      <c r="AK304" s="165" t="str">
        <f>IFERROR(VALUE(SUBSTITUTE(OpenPendingCases[[#This Row],[Price]]," AED","")),"")</f>
        <v/>
      </c>
      <c r="AL304" s="165" t="str">
        <f>IFERROR(VALUE(LEFT(OpenPendingCases[[#This Row],[Price]],FIND(" ",OpenPendingCases[[#This Row],[Price]])-1)),"")</f>
        <v/>
      </c>
      <c r="AM304" s="165" t="str">
        <f>IFERROR(VALUE(_xlfn.TEXTBEFORE(OpenPendingCases[[#This Row],[Price]]," AED")),"")</f>
        <v/>
      </c>
      <c r="AN304" s="165"/>
    </row>
    <row r="305" spans="3:40" ht="18" hidden="1" x14ac:dyDescent="0.35">
      <c r="C305" s="134"/>
      <c r="D305" s="137" t="str">
        <f>IF($U305="Open Sale", IF(MAX($D$4:D304)+1=0, "", MAX($D$4:D304)+1), "")</f>
        <v/>
      </c>
      <c r="E305" s="137" t="str">
        <f>IF($U305="Pending Allocation", IF(MAX($E$4:E304)+1=0, "", MAX($E$4:E304)+1), "")</f>
        <v/>
      </c>
      <c r="F305" s="137"/>
      <c r="G305" s="137"/>
      <c r="H305" s="150"/>
      <c r="I305" s="150"/>
      <c r="J305" s="68" t="str">
        <f>IF(OpenPendingCases[[#This Row],[Timepiece Reference ]]="", "", IF(_xlfn.XLOOKUP(OpenPendingCases[[#This Row],[Timepiece Reference ]], Table1[[Timepiece Reference ]], Table1[CRC STOCK], "Not Found")="YES", "CRC Stock", "Boutique Stock"))</f>
        <v/>
      </c>
      <c r="K305" s="137" t="str">
        <f>IF(OpenPendingCases[[#This Row],[Timepiece Reference ]]="", "", IF(_xlfn.XLOOKUP(OpenPendingCases[[#This Row],[Timepiece Reference ]], Table1[[Timepiece Reference ]], Table1[CRC STOCK], "Not Found")="YES", "CRC Stock", "Boutique Stock"))</f>
        <v/>
      </c>
      <c r="L305" s="143"/>
      <c r="M305" s="141"/>
      <c r="N305" s="137"/>
      <c r="O305" s="134"/>
      <c r="P305" s="94" t="str">
        <f>IFERROR(VLOOKUP(TRIM(O305), Collection!$B$2:$D$1001, 2, FALSE), "")</f>
        <v/>
      </c>
      <c r="Q305" s="190" t="str">
        <f>IFERROR(VLOOKUP(TRIM(O305), Collection!$B$2:$D$1001, 3, FALSE), "")</f>
        <v/>
      </c>
      <c r="R305" s="153" t="str">
        <f t="shared" si="30"/>
        <v/>
      </c>
      <c r="S305" s="151"/>
      <c r="T305" s="158"/>
      <c r="U305" s="137"/>
      <c r="V305" s="137"/>
      <c r="W305" s="156" t="str">
        <f t="shared" si="34"/>
        <v/>
      </c>
      <c r="X305" s="157"/>
      <c r="Y305" s="158"/>
      <c r="Z305" s="158"/>
      <c r="AA305" s="137" t="str">
        <f t="shared" ca="1" si="35"/>
        <v/>
      </c>
      <c r="AB305" s="137" t="str">
        <f t="shared" ca="1" si="31"/>
        <v/>
      </c>
      <c r="AC305" s="160" t="str">
        <f t="shared" ca="1" si="32"/>
        <v/>
      </c>
      <c r="AD305" s="159" t="str">
        <f t="shared" ca="1" si="33"/>
        <v/>
      </c>
      <c r="AE305" s="161"/>
      <c r="AF305" s="161"/>
      <c r="AG305" s="161"/>
      <c r="AH305" s="137"/>
      <c r="AI305" s="164" t="str">
        <f t="shared" si="36"/>
        <v/>
      </c>
      <c r="AJ305" s="164" t="str">
        <f>IF(AND(OpenPendingCases[[#This Row],[Sale Status	]]="Open Sale",OpenPendingCases[[#This Row],[Potential Same Month]]="High"),TEXT(OpenPendingCases[[#This Row],[Request Entry Date]], "[$-en-us]mmmm"),"")</f>
        <v/>
      </c>
      <c r="AK305" s="165" t="str">
        <f>IFERROR(VALUE(SUBSTITUTE(OpenPendingCases[[#This Row],[Price]]," AED","")),"")</f>
        <v/>
      </c>
      <c r="AL305" s="165" t="str">
        <f>IFERROR(VALUE(LEFT(OpenPendingCases[[#This Row],[Price]],FIND(" ",OpenPendingCases[[#This Row],[Price]])-1)),"")</f>
        <v/>
      </c>
      <c r="AM305" s="165" t="str">
        <f>IFERROR(VALUE(_xlfn.TEXTBEFORE(OpenPendingCases[[#This Row],[Price]]," AED")),"")</f>
        <v/>
      </c>
      <c r="AN305" s="165"/>
    </row>
    <row r="306" spans="3:40" ht="18" hidden="1" x14ac:dyDescent="0.35">
      <c r="C306" s="134"/>
      <c r="D306" s="137" t="str">
        <f>IF($U306="Open Sale", IF(MAX($D$4:D305)+1=0, "", MAX($D$4:D305)+1), "")</f>
        <v/>
      </c>
      <c r="E306" s="137" t="str">
        <f>IF($U306="Pending Allocation", IF(MAX($E$4:E305)+1=0, "", MAX($E$4:E305)+1), "")</f>
        <v/>
      </c>
      <c r="F306" s="137"/>
      <c r="G306" s="137"/>
      <c r="H306" s="150"/>
      <c r="I306" s="150"/>
      <c r="J306" s="68" t="str">
        <f>IF(OpenPendingCases[[#This Row],[Timepiece Reference ]]="", "", IF(_xlfn.XLOOKUP(OpenPendingCases[[#This Row],[Timepiece Reference ]], Table1[[Timepiece Reference ]], Table1[CRC STOCK], "Not Found")="YES", "CRC Stock", "Boutique Stock"))</f>
        <v/>
      </c>
      <c r="K306" s="137" t="str">
        <f>IF(OpenPendingCases[[#This Row],[Timepiece Reference ]]="", "", IF(_xlfn.XLOOKUP(OpenPendingCases[[#This Row],[Timepiece Reference ]], Table1[[Timepiece Reference ]], Table1[CRC STOCK], "Not Found")="YES", "CRC Stock", "Boutique Stock"))</f>
        <v/>
      </c>
      <c r="L306" s="143"/>
      <c r="M306" s="141"/>
      <c r="N306" s="137"/>
      <c r="O306" s="134"/>
      <c r="P306" s="94" t="str">
        <f>IFERROR(VLOOKUP(TRIM(O306), Collection!$B$2:$D$1001, 2, FALSE), "")</f>
        <v/>
      </c>
      <c r="Q306" s="190" t="str">
        <f>IFERROR(VLOOKUP(TRIM(O306), Collection!$B$2:$D$1001, 3, FALSE), "")</f>
        <v/>
      </c>
      <c r="R306" s="153" t="str">
        <f t="shared" si="30"/>
        <v/>
      </c>
      <c r="S306" s="151"/>
      <c r="T306" s="158"/>
      <c r="U306" s="137"/>
      <c r="V306" s="137"/>
      <c r="W306" s="156" t="str">
        <f t="shared" si="34"/>
        <v/>
      </c>
      <c r="X306" s="157"/>
      <c r="Y306" s="158"/>
      <c r="Z306" s="158"/>
      <c r="AA306" s="137" t="str">
        <f t="shared" ca="1" si="35"/>
        <v/>
      </c>
      <c r="AB306" s="137" t="str">
        <f t="shared" ca="1" si="31"/>
        <v/>
      </c>
      <c r="AC306" s="160" t="str">
        <f t="shared" ca="1" si="32"/>
        <v/>
      </c>
      <c r="AD306" s="159" t="str">
        <f t="shared" ca="1" si="33"/>
        <v/>
      </c>
      <c r="AE306" s="161"/>
      <c r="AF306" s="161"/>
      <c r="AG306" s="161"/>
      <c r="AH306" s="137"/>
      <c r="AI306" s="164" t="str">
        <f t="shared" si="36"/>
        <v/>
      </c>
      <c r="AJ306" s="164" t="str">
        <f>IF(AND(OpenPendingCases[[#This Row],[Sale Status	]]="Open Sale",OpenPendingCases[[#This Row],[Potential Same Month]]="High"),TEXT(OpenPendingCases[[#This Row],[Request Entry Date]], "[$-en-us]mmmm"),"")</f>
        <v/>
      </c>
      <c r="AK306" s="165" t="str">
        <f>IFERROR(VALUE(SUBSTITUTE(OpenPendingCases[[#This Row],[Price]]," AED","")),"")</f>
        <v/>
      </c>
      <c r="AL306" s="165" t="str">
        <f>IFERROR(VALUE(LEFT(OpenPendingCases[[#This Row],[Price]],FIND(" ",OpenPendingCases[[#This Row],[Price]])-1)),"")</f>
        <v/>
      </c>
      <c r="AM306" s="165" t="str">
        <f>IFERROR(VALUE(_xlfn.TEXTBEFORE(OpenPendingCases[[#This Row],[Price]]," AED")),"")</f>
        <v/>
      </c>
      <c r="AN306" s="165"/>
    </row>
    <row r="307" spans="3:40" ht="18" hidden="1" x14ac:dyDescent="0.35">
      <c r="C307" s="134"/>
      <c r="D307" s="137" t="str">
        <f>IF($U307="Open Sale", IF(MAX($D$4:D306)+1=0, "", MAX($D$4:D306)+1), "")</f>
        <v/>
      </c>
      <c r="E307" s="137" t="str">
        <f>IF($U307="Pending Allocation", IF(MAX($E$4:E306)+1=0, "", MAX($E$4:E306)+1), "")</f>
        <v/>
      </c>
      <c r="F307" s="137"/>
      <c r="G307" s="137"/>
      <c r="H307" s="150"/>
      <c r="I307" s="150"/>
      <c r="J307" s="68" t="str">
        <f>IF(OpenPendingCases[[#This Row],[Timepiece Reference ]]="", "", IF(_xlfn.XLOOKUP(OpenPendingCases[[#This Row],[Timepiece Reference ]], Table1[[Timepiece Reference ]], Table1[CRC STOCK], "Not Found")="YES", "CRC Stock", "Boutique Stock"))</f>
        <v/>
      </c>
      <c r="K307" s="137" t="str">
        <f>IF(OpenPendingCases[[#This Row],[Timepiece Reference ]]="", "", IF(_xlfn.XLOOKUP(OpenPendingCases[[#This Row],[Timepiece Reference ]], Table1[[Timepiece Reference ]], Table1[CRC STOCK], "Not Found")="YES", "CRC Stock", "Boutique Stock"))</f>
        <v/>
      </c>
      <c r="L307" s="143"/>
      <c r="M307" s="141"/>
      <c r="N307" s="137"/>
      <c r="O307" s="134"/>
      <c r="P307" s="94" t="str">
        <f>IFERROR(VLOOKUP(TRIM(O307), Collection!$B$2:$D$1001, 2, FALSE), "")</f>
        <v/>
      </c>
      <c r="Q307" s="190" t="str">
        <f>IFERROR(VLOOKUP(TRIM(O307), Collection!$B$2:$D$1001, 3, FALSE), "")</f>
        <v/>
      </c>
      <c r="R307" s="153" t="str">
        <f t="shared" si="30"/>
        <v/>
      </c>
      <c r="S307" s="151"/>
      <c r="T307" s="158"/>
      <c r="U307" s="137"/>
      <c r="V307" s="137"/>
      <c r="W307" s="156" t="str">
        <f t="shared" si="34"/>
        <v/>
      </c>
      <c r="X307" s="157"/>
      <c r="Y307" s="158"/>
      <c r="Z307" s="158"/>
      <c r="AA307" s="137" t="str">
        <f t="shared" ca="1" si="35"/>
        <v/>
      </c>
      <c r="AB307" s="137" t="str">
        <f t="shared" ca="1" si="31"/>
        <v/>
      </c>
      <c r="AC307" s="160" t="str">
        <f t="shared" ca="1" si="32"/>
        <v/>
      </c>
      <c r="AD307" s="159" t="str">
        <f t="shared" ca="1" si="33"/>
        <v/>
      </c>
      <c r="AE307" s="161"/>
      <c r="AF307" s="161"/>
      <c r="AG307" s="161"/>
      <c r="AH307" s="137"/>
      <c r="AI307" s="164" t="str">
        <f t="shared" si="36"/>
        <v/>
      </c>
      <c r="AJ307" s="164" t="str">
        <f>IF(AND(OpenPendingCases[[#This Row],[Sale Status	]]="Open Sale",OpenPendingCases[[#This Row],[Potential Same Month]]="High"),TEXT(OpenPendingCases[[#This Row],[Request Entry Date]], "[$-en-us]mmmm"),"")</f>
        <v/>
      </c>
      <c r="AK307" s="165" t="str">
        <f>IFERROR(VALUE(SUBSTITUTE(OpenPendingCases[[#This Row],[Price]]," AED","")),"")</f>
        <v/>
      </c>
      <c r="AL307" s="165" t="str">
        <f>IFERROR(VALUE(LEFT(OpenPendingCases[[#This Row],[Price]],FIND(" ",OpenPendingCases[[#This Row],[Price]])-1)),"")</f>
        <v/>
      </c>
      <c r="AM307" s="165" t="str">
        <f>IFERROR(VALUE(_xlfn.TEXTBEFORE(OpenPendingCases[[#This Row],[Price]]," AED")),"")</f>
        <v/>
      </c>
      <c r="AN307" s="165"/>
    </row>
    <row r="308" spans="3:40" ht="18" hidden="1" x14ac:dyDescent="0.35">
      <c r="C308" s="134"/>
      <c r="D308" s="137" t="str">
        <f>IF($U308="Open Sale", IF(MAX($D$4:D307)+1=0, "", MAX($D$4:D307)+1), "")</f>
        <v/>
      </c>
      <c r="E308" s="137" t="str">
        <f>IF($U308="Pending Allocation", IF(MAX($E$4:E307)+1=0, "", MAX($E$4:E307)+1), "")</f>
        <v/>
      </c>
      <c r="F308" s="137"/>
      <c r="G308" s="137"/>
      <c r="H308" s="150"/>
      <c r="I308" s="150"/>
      <c r="J308" s="68" t="str">
        <f>IF(OpenPendingCases[[#This Row],[Timepiece Reference ]]="", "", IF(_xlfn.XLOOKUP(OpenPendingCases[[#This Row],[Timepiece Reference ]], Table1[[Timepiece Reference ]], Table1[CRC STOCK], "Not Found")="YES", "CRC Stock", "Boutique Stock"))</f>
        <v/>
      </c>
      <c r="K308" s="137" t="str">
        <f>IF(OpenPendingCases[[#This Row],[Timepiece Reference ]]="", "", IF(_xlfn.XLOOKUP(OpenPendingCases[[#This Row],[Timepiece Reference ]], Table1[[Timepiece Reference ]], Table1[CRC STOCK], "Not Found")="YES", "CRC Stock", "Boutique Stock"))</f>
        <v/>
      </c>
      <c r="L308" s="143"/>
      <c r="M308" s="141"/>
      <c r="N308" s="137"/>
      <c r="O308" s="134"/>
      <c r="P308" s="94" t="str">
        <f>IFERROR(VLOOKUP(TRIM(O308), Collection!$B$2:$D$1001, 2, FALSE), "")</f>
        <v/>
      </c>
      <c r="Q308" s="190" t="str">
        <f>IFERROR(VLOOKUP(TRIM(O308), Collection!$B$2:$D$1001, 3, FALSE), "")</f>
        <v/>
      </c>
      <c r="R308" s="153" t="str">
        <f t="shared" si="30"/>
        <v/>
      </c>
      <c r="S308" s="151"/>
      <c r="T308" s="158"/>
      <c r="U308" s="137"/>
      <c r="V308" s="137"/>
      <c r="W308" s="156" t="str">
        <f t="shared" si="34"/>
        <v/>
      </c>
      <c r="X308" s="157"/>
      <c r="Y308" s="158"/>
      <c r="Z308" s="158"/>
      <c r="AA308" s="137" t="str">
        <f t="shared" ca="1" si="35"/>
        <v/>
      </c>
      <c r="AB308" s="137" t="str">
        <f t="shared" ca="1" si="31"/>
        <v/>
      </c>
      <c r="AC308" s="160" t="str">
        <f t="shared" ca="1" si="32"/>
        <v/>
      </c>
      <c r="AD308" s="159" t="str">
        <f t="shared" ca="1" si="33"/>
        <v/>
      </c>
      <c r="AE308" s="161"/>
      <c r="AF308" s="161"/>
      <c r="AG308" s="161"/>
      <c r="AH308" s="137"/>
      <c r="AI308" s="164" t="str">
        <f t="shared" si="36"/>
        <v/>
      </c>
      <c r="AJ308" s="164" t="str">
        <f>IF(AND(OpenPendingCases[[#This Row],[Sale Status	]]="Open Sale",OpenPendingCases[[#This Row],[Potential Same Month]]="High"),TEXT(OpenPendingCases[[#This Row],[Request Entry Date]], "[$-en-us]mmmm"),"")</f>
        <v/>
      </c>
      <c r="AK308" s="165" t="str">
        <f>IFERROR(VALUE(SUBSTITUTE(OpenPendingCases[[#This Row],[Price]]," AED","")),"")</f>
        <v/>
      </c>
      <c r="AL308" s="165" t="str">
        <f>IFERROR(VALUE(LEFT(OpenPendingCases[[#This Row],[Price]],FIND(" ",OpenPendingCases[[#This Row],[Price]])-1)),"")</f>
        <v/>
      </c>
      <c r="AM308" s="165" t="str">
        <f>IFERROR(VALUE(_xlfn.TEXTBEFORE(OpenPendingCases[[#This Row],[Price]]," AED")),"")</f>
        <v/>
      </c>
      <c r="AN308" s="165"/>
    </row>
    <row r="309" spans="3:40" ht="18" hidden="1" x14ac:dyDescent="0.35">
      <c r="C309" s="134"/>
      <c r="D309" s="137" t="str">
        <f>IF($U309="Open Sale", IF(MAX($D$4:D308)+1=0, "", MAX($D$4:D308)+1), "")</f>
        <v/>
      </c>
      <c r="E309" s="137" t="str">
        <f>IF($U309="Pending Allocation", IF(MAX($E$4:E308)+1=0, "", MAX($E$4:E308)+1), "")</f>
        <v/>
      </c>
      <c r="F309" s="137"/>
      <c r="G309" s="137"/>
      <c r="H309" s="150"/>
      <c r="I309" s="150"/>
      <c r="J309" s="68" t="str">
        <f>IF(OpenPendingCases[[#This Row],[Timepiece Reference ]]="", "", IF(_xlfn.XLOOKUP(OpenPendingCases[[#This Row],[Timepiece Reference ]], Table1[[Timepiece Reference ]], Table1[CRC STOCK], "Not Found")="YES", "CRC Stock", "Boutique Stock"))</f>
        <v/>
      </c>
      <c r="K309" s="137" t="str">
        <f>IF(OpenPendingCases[[#This Row],[Timepiece Reference ]]="", "", IF(_xlfn.XLOOKUP(OpenPendingCases[[#This Row],[Timepiece Reference ]], Table1[[Timepiece Reference ]], Table1[CRC STOCK], "Not Found")="YES", "CRC Stock", "Boutique Stock"))</f>
        <v/>
      </c>
      <c r="L309" s="143"/>
      <c r="M309" s="141"/>
      <c r="N309" s="137"/>
      <c r="O309" s="134"/>
      <c r="P309" s="94" t="str">
        <f>IFERROR(VLOOKUP(TRIM(O309), Collection!$B$2:$D$1001, 2, FALSE), "")</f>
        <v/>
      </c>
      <c r="Q309" s="190" t="str">
        <f>IFERROR(VLOOKUP(TRIM(O309), Collection!$B$2:$D$1001, 3, FALSE), "")</f>
        <v/>
      </c>
      <c r="R309" s="153" t="str">
        <f t="shared" si="30"/>
        <v/>
      </c>
      <c r="S309" s="151"/>
      <c r="T309" s="158"/>
      <c r="U309" s="137"/>
      <c r="V309" s="137"/>
      <c r="W309" s="156" t="str">
        <f t="shared" si="34"/>
        <v/>
      </c>
      <c r="X309" s="157"/>
      <c r="Y309" s="158"/>
      <c r="Z309" s="158"/>
      <c r="AA309" s="137" t="str">
        <f t="shared" ca="1" si="35"/>
        <v/>
      </c>
      <c r="AB309" s="137" t="str">
        <f t="shared" ca="1" si="31"/>
        <v/>
      </c>
      <c r="AC309" s="160" t="str">
        <f t="shared" ca="1" si="32"/>
        <v/>
      </c>
      <c r="AD309" s="159" t="str">
        <f t="shared" ca="1" si="33"/>
        <v/>
      </c>
      <c r="AE309" s="161"/>
      <c r="AF309" s="161"/>
      <c r="AG309" s="161"/>
      <c r="AH309" s="137"/>
      <c r="AI309" s="164" t="str">
        <f t="shared" si="36"/>
        <v/>
      </c>
      <c r="AJ309" s="164" t="str">
        <f>IF(AND(OpenPendingCases[[#This Row],[Sale Status	]]="Open Sale",OpenPendingCases[[#This Row],[Potential Same Month]]="High"),TEXT(OpenPendingCases[[#This Row],[Request Entry Date]], "[$-en-us]mmmm"),"")</f>
        <v/>
      </c>
      <c r="AK309" s="165" t="str">
        <f>IFERROR(VALUE(SUBSTITUTE(OpenPendingCases[[#This Row],[Price]]," AED","")),"")</f>
        <v/>
      </c>
      <c r="AL309" s="165" t="str">
        <f>IFERROR(VALUE(LEFT(OpenPendingCases[[#This Row],[Price]],FIND(" ",OpenPendingCases[[#This Row],[Price]])-1)),"")</f>
        <v/>
      </c>
      <c r="AM309" s="165" t="str">
        <f>IFERROR(VALUE(_xlfn.TEXTBEFORE(OpenPendingCases[[#This Row],[Price]]," AED")),"")</f>
        <v/>
      </c>
      <c r="AN309" s="165"/>
    </row>
    <row r="310" spans="3:40" ht="18" hidden="1" x14ac:dyDescent="0.35">
      <c r="C310" s="134"/>
      <c r="D310" s="137" t="str">
        <f>IF($U310="Open Sale", IF(MAX($D$4:D309)+1=0, "", MAX($D$4:D309)+1), "")</f>
        <v/>
      </c>
      <c r="E310" s="137" t="str">
        <f>IF($U310="Pending Allocation", IF(MAX($E$4:E309)+1=0, "", MAX($E$4:E309)+1), "")</f>
        <v/>
      </c>
      <c r="F310" s="137"/>
      <c r="G310" s="137"/>
      <c r="H310" s="150"/>
      <c r="I310" s="150"/>
      <c r="J310" s="68" t="str">
        <f>IF(OpenPendingCases[[#This Row],[Timepiece Reference ]]="", "", IF(_xlfn.XLOOKUP(OpenPendingCases[[#This Row],[Timepiece Reference ]], Table1[[Timepiece Reference ]], Table1[CRC STOCK], "Not Found")="YES", "CRC Stock", "Boutique Stock"))</f>
        <v/>
      </c>
      <c r="K310" s="137" t="str">
        <f>IF(OpenPendingCases[[#This Row],[Timepiece Reference ]]="", "", IF(_xlfn.XLOOKUP(OpenPendingCases[[#This Row],[Timepiece Reference ]], Table1[[Timepiece Reference ]], Table1[CRC STOCK], "Not Found")="YES", "CRC Stock", "Boutique Stock"))</f>
        <v/>
      </c>
      <c r="L310" s="143"/>
      <c r="M310" s="141"/>
      <c r="N310" s="137"/>
      <c r="O310" s="134"/>
      <c r="P310" s="94" t="str">
        <f>IFERROR(VLOOKUP(TRIM(O310), Collection!$B$2:$D$1001, 2, FALSE), "")</f>
        <v/>
      </c>
      <c r="Q310" s="190" t="str">
        <f>IFERROR(VLOOKUP(TRIM(O310), Collection!$B$2:$D$1001, 3, FALSE), "")</f>
        <v/>
      </c>
      <c r="R310" s="153" t="str">
        <f t="shared" si="30"/>
        <v/>
      </c>
      <c r="S310" s="151"/>
      <c r="T310" s="158"/>
      <c r="U310" s="137"/>
      <c r="V310" s="137"/>
      <c r="W310" s="156" t="str">
        <f t="shared" si="34"/>
        <v/>
      </c>
      <c r="X310" s="157"/>
      <c r="Y310" s="158"/>
      <c r="Z310" s="158"/>
      <c r="AA310" s="137" t="str">
        <f t="shared" ca="1" si="35"/>
        <v/>
      </c>
      <c r="AB310" s="137" t="str">
        <f t="shared" ca="1" si="31"/>
        <v/>
      </c>
      <c r="AC310" s="160" t="str">
        <f t="shared" ca="1" si="32"/>
        <v/>
      </c>
      <c r="AD310" s="159" t="str">
        <f t="shared" ca="1" si="33"/>
        <v/>
      </c>
      <c r="AE310" s="161"/>
      <c r="AF310" s="161"/>
      <c r="AG310" s="161"/>
      <c r="AH310" s="137"/>
      <c r="AI310" s="164" t="str">
        <f t="shared" si="36"/>
        <v/>
      </c>
      <c r="AJ310" s="164" t="str">
        <f>IF(AND(OpenPendingCases[[#This Row],[Sale Status	]]="Open Sale",OpenPendingCases[[#This Row],[Potential Same Month]]="High"),TEXT(OpenPendingCases[[#This Row],[Request Entry Date]], "[$-en-us]mmmm"),"")</f>
        <v/>
      </c>
      <c r="AK310" s="165" t="str">
        <f>IFERROR(VALUE(SUBSTITUTE(OpenPendingCases[[#This Row],[Price]]," AED","")),"")</f>
        <v/>
      </c>
      <c r="AL310" s="165" t="str">
        <f>IFERROR(VALUE(LEFT(OpenPendingCases[[#This Row],[Price]],FIND(" ",OpenPendingCases[[#This Row],[Price]])-1)),"")</f>
        <v/>
      </c>
      <c r="AM310" s="165" t="str">
        <f>IFERROR(VALUE(_xlfn.TEXTBEFORE(OpenPendingCases[[#This Row],[Price]]," AED")),"")</f>
        <v/>
      </c>
      <c r="AN310" s="165"/>
    </row>
    <row r="311" spans="3:40" ht="18" hidden="1" x14ac:dyDescent="0.35">
      <c r="C311" s="134"/>
      <c r="D311" s="137" t="str">
        <f>IF($U311="Open Sale", IF(MAX($D$4:D310)+1=0, "", MAX($D$4:D310)+1), "")</f>
        <v/>
      </c>
      <c r="E311" s="137" t="str">
        <f>IF($U311="Pending Allocation", IF(MAX($E$4:E310)+1=0, "", MAX($E$4:E310)+1), "")</f>
        <v/>
      </c>
      <c r="F311" s="137"/>
      <c r="G311" s="137"/>
      <c r="H311" s="150"/>
      <c r="I311" s="150"/>
      <c r="J311" s="68" t="str">
        <f>IF(OpenPendingCases[[#This Row],[Timepiece Reference ]]="", "", IF(_xlfn.XLOOKUP(OpenPendingCases[[#This Row],[Timepiece Reference ]], Table1[[Timepiece Reference ]], Table1[CRC STOCK], "Not Found")="YES", "CRC Stock", "Boutique Stock"))</f>
        <v/>
      </c>
      <c r="K311" s="137" t="str">
        <f>IF(OpenPendingCases[[#This Row],[Timepiece Reference ]]="", "", IF(_xlfn.XLOOKUP(OpenPendingCases[[#This Row],[Timepiece Reference ]], Table1[[Timepiece Reference ]], Table1[CRC STOCK], "Not Found")="YES", "CRC Stock", "Boutique Stock"))</f>
        <v/>
      </c>
      <c r="L311" s="143"/>
      <c r="M311" s="141"/>
      <c r="N311" s="137"/>
      <c r="O311" s="134"/>
      <c r="P311" s="94" t="str">
        <f>IFERROR(VLOOKUP(TRIM(O311), Collection!$B$2:$D$1001, 2, FALSE), "")</f>
        <v/>
      </c>
      <c r="Q311" s="190" t="str">
        <f>IFERROR(VLOOKUP(TRIM(O311), Collection!$B$2:$D$1001, 3, FALSE), "")</f>
        <v/>
      </c>
      <c r="R311" s="153" t="str">
        <f t="shared" si="30"/>
        <v/>
      </c>
      <c r="S311" s="151"/>
      <c r="T311" s="158"/>
      <c r="U311" s="137"/>
      <c r="V311" s="137"/>
      <c r="W311" s="156" t="str">
        <f t="shared" si="34"/>
        <v/>
      </c>
      <c r="X311" s="157"/>
      <c r="Y311" s="158"/>
      <c r="Z311" s="158"/>
      <c r="AA311" s="137" t="str">
        <f t="shared" ca="1" si="35"/>
        <v/>
      </c>
      <c r="AB311" s="137" t="str">
        <f t="shared" ca="1" si="31"/>
        <v/>
      </c>
      <c r="AC311" s="160" t="str">
        <f t="shared" ca="1" si="32"/>
        <v/>
      </c>
      <c r="AD311" s="159" t="str">
        <f t="shared" ca="1" si="33"/>
        <v/>
      </c>
      <c r="AE311" s="161"/>
      <c r="AF311" s="161"/>
      <c r="AG311" s="161"/>
      <c r="AH311" s="137"/>
      <c r="AI311" s="164" t="str">
        <f t="shared" si="36"/>
        <v/>
      </c>
      <c r="AJ311" s="164" t="str">
        <f>IF(AND(OpenPendingCases[[#This Row],[Sale Status	]]="Open Sale",OpenPendingCases[[#This Row],[Potential Same Month]]="High"),TEXT(OpenPendingCases[[#This Row],[Request Entry Date]], "[$-en-us]mmmm"),"")</f>
        <v/>
      </c>
      <c r="AK311" s="165" t="str">
        <f>IFERROR(VALUE(SUBSTITUTE(OpenPendingCases[[#This Row],[Price]]," AED","")),"")</f>
        <v/>
      </c>
      <c r="AL311" s="165" t="str">
        <f>IFERROR(VALUE(LEFT(OpenPendingCases[[#This Row],[Price]],FIND(" ",OpenPendingCases[[#This Row],[Price]])-1)),"")</f>
        <v/>
      </c>
      <c r="AM311" s="165" t="str">
        <f>IFERROR(VALUE(_xlfn.TEXTBEFORE(OpenPendingCases[[#This Row],[Price]]," AED")),"")</f>
        <v/>
      </c>
      <c r="AN311" s="165"/>
    </row>
    <row r="312" spans="3:40" ht="18" hidden="1" x14ac:dyDescent="0.35">
      <c r="C312" s="134"/>
      <c r="D312" s="137" t="str">
        <f>IF($U312="Open Sale", IF(MAX($D$4:D311)+1=0, "", MAX($D$4:D311)+1), "")</f>
        <v/>
      </c>
      <c r="E312" s="137" t="str">
        <f>IF($U312="Pending Allocation", IF(MAX($E$4:E311)+1=0, "", MAX($E$4:E311)+1), "")</f>
        <v/>
      </c>
      <c r="F312" s="137"/>
      <c r="G312" s="137"/>
      <c r="H312" s="150"/>
      <c r="I312" s="150"/>
      <c r="J312" s="68" t="str">
        <f>IF(OpenPendingCases[[#This Row],[Timepiece Reference ]]="", "", IF(_xlfn.XLOOKUP(OpenPendingCases[[#This Row],[Timepiece Reference ]], Table1[[Timepiece Reference ]], Table1[CRC STOCK], "Not Found")="YES", "CRC Stock", "Boutique Stock"))</f>
        <v/>
      </c>
      <c r="K312" s="137" t="str">
        <f>IF(OpenPendingCases[[#This Row],[Timepiece Reference ]]="", "", IF(_xlfn.XLOOKUP(OpenPendingCases[[#This Row],[Timepiece Reference ]], Table1[[Timepiece Reference ]], Table1[CRC STOCK], "Not Found")="YES", "CRC Stock", "Boutique Stock"))</f>
        <v/>
      </c>
      <c r="L312" s="143"/>
      <c r="M312" s="141"/>
      <c r="N312" s="137"/>
      <c r="O312" s="134"/>
      <c r="P312" s="94" t="str">
        <f>IFERROR(VLOOKUP(TRIM(O312), Collection!$B$2:$D$1001, 2, FALSE), "")</f>
        <v/>
      </c>
      <c r="Q312" s="190" t="str">
        <f>IFERROR(VLOOKUP(TRIM(O312), Collection!$B$2:$D$1001, 3, FALSE), "")</f>
        <v/>
      </c>
      <c r="R312" s="153" t="str">
        <f t="shared" si="30"/>
        <v/>
      </c>
      <c r="S312" s="151"/>
      <c r="T312" s="158"/>
      <c r="U312" s="137"/>
      <c r="V312" s="137"/>
      <c r="W312" s="156" t="str">
        <f t="shared" si="34"/>
        <v/>
      </c>
      <c r="X312" s="157"/>
      <c r="Y312" s="158"/>
      <c r="Z312" s="158"/>
      <c r="AA312" s="137" t="str">
        <f t="shared" ca="1" si="35"/>
        <v/>
      </c>
      <c r="AB312" s="137" t="str">
        <f t="shared" ca="1" si="31"/>
        <v/>
      </c>
      <c r="AC312" s="160" t="str">
        <f t="shared" ca="1" si="32"/>
        <v/>
      </c>
      <c r="AD312" s="159" t="str">
        <f t="shared" ca="1" si="33"/>
        <v/>
      </c>
      <c r="AE312" s="161"/>
      <c r="AF312" s="161"/>
      <c r="AG312" s="161"/>
      <c r="AH312" s="137"/>
      <c r="AI312" s="164" t="str">
        <f t="shared" si="36"/>
        <v/>
      </c>
      <c r="AJ312" s="164" t="str">
        <f>IF(AND(OpenPendingCases[[#This Row],[Sale Status	]]="Open Sale",OpenPendingCases[[#This Row],[Potential Same Month]]="High"),TEXT(OpenPendingCases[[#This Row],[Request Entry Date]], "[$-en-us]mmmm"),"")</f>
        <v/>
      </c>
      <c r="AK312" s="165" t="str">
        <f>IFERROR(VALUE(SUBSTITUTE(OpenPendingCases[[#This Row],[Price]]," AED","")),"")</f>
        <v/>
      </c>
      <c r="AL312" s="165" t="str">
        <f>IFERROR(VALUE(LEFT(OpenPendingCases[[#This Row],[Price]],FIND(" ",OpenPendingCases[[#This Row],[Price]])-1)),"")</f>
        <v/>
      </c>
      <c r="AM312" s="165" t="str">
        <f>IFERROR(VALUE(_xlfn.TEXTBEFORE(OpenPendingCases[[#This Row],[Price]]," AED")),"")</f>
        <v/>
      </c>
      <c r="AN312" s="165"/>
    </row>
    <row r="313" spans="3:40" ht="18" hidden="1" x14ac:dyDescent="0.35">
      <c r="C313" s="134"/>
      <c r="D313" s="137" t="str">
        <f>IF($U313="Open Sale", IF(MAX($D$4:D312)+1=0, "", MAX($D$4:D312)+1), "")</f>
        <v/>
      </c>
      <c r="E313" s="137" t="str">
        <f>IF($U313="Pending Allocation", IF(MAX($E$4:E312)+1=0, "", MAX($E$4:E312)+1), "")</f>
        <v/>
      </c>
      <c r="F313" s="137"/>
      <c r="G313" s="137"/>
      <c r="H313" s="150"/>
      <c r="I313" s="150"/>
      <c r="J313" s="68" t="str">
        <f>IF(OpenPendingCases[[#This Row],[Timepiece Reference ]]="", "", IF(_xlfn.XLOOKUP(OpenPendingCases[[#This Row],[Timepiece Reference ]], Table1[[Timepiece Reference ]], Table1[CRC STOCK], "Not Found")="YES", "CRC Stock", "Boutique Stock"))</f>
        <v/>
      </c>
      <c r="K313" s="137" t="str">
        <f>IF(OpenPendingCases[[#This Row],[Timepiece Reference ]]="", "", IF(_xlfn.XLOOKUP(OpenPendingCases[[#This Row],[Timepiece Reference ]], Table1[[Timepiece Reference ]], Table1[CRC STOCK], "Not Found")="YES", "CRC Stock", "Boutique Stock"))</f>
        <v/>
      </c>
      <c r="L313" s="143"/>
      <c r="M313" s="141"/>
      <c r="N313" s="137"/>
      <c r="O313" s="134"/>
      <c r="P313" s="94" t="str">
        <f>IFERROR(VLOOKUP(TRIM(O313), Collection!$B$2:$D$1001, 2, FALSE), "")</f>
        <v/>
      </c>
      <c r="Q313" s="190" t="str">
        <f>IFERROR(VLOOKUP(TRIM(O313), Collection!$B$2:$D$1001, 3, FALSE), "")</f>
        <v/>
      </c>
      <c r="R313" s="153" t="str">
        <f t="shared" si="30"/>
        <v/>
      </c>
      <c r="S313" s="151"/>
      <c r="T313" s="158"/>
      <c r="U313" s="137"/>
      <c r="V313" s="137"/>
      <c r="W313" s="156" t="str">
        <f t="shared" si="34"/>
        <v/>
      </c>
      <c r="X313" s="157"/>
      <c r="Y313" s="158"/>
      <c r="Z313" s="158"/>
      <c r="AA313" s="137" t="str">
        <f t="shared" ca="1" si="35"/>
        <v/>
      </c>
      <c r="AB313" s="137" t="str">
        <f t="shared" ca="1" si="31"/>
        <v/>
      </c>
      <c r="AC313" s="160" t="str">
        <f t="shared" ca="1" si="32"/>
        <v/>
      </c>
      <c r="AD313" s="159" t="str">
        <f t="shared" ca="1" si="33"/>
        <v/>
      </c>
      <c r="AE313" s="161"/>
      <c r="AF313" s="161"/>
      <c r="AG313" s="161"/>
      <c r="AH313" s="137"/>
      <c r="AI313" s="164" t="str">
        <f t="shared" si="36"/>
        <v/>
      </c>
      <c r="AJ313" s="164" t="str">
        <f>IF(AND(OpenPendingCases[[#This Row],[Sale Status	]]="Open Sale",OpenPendingCases[[#This Row],[Potential Same Month]]="High"),TEXT(OpenPendingCases[[#This Row],[Request Entry Date]], "[$-en-us]mmmm"),"")</f>
        <v/>
      </c>
      <c r="AK313" s="165" t="str">
        <f>IFERROR(VALUE(SUBSTITUTE(OpenPendingCases[[#This Row],[Price]]," AED","")),"")</f>
        <v/>
      </c>
      <c r="AL313" s="165" t="str">
        <f>IFERROR(VALUE(LEFT(OpenPendingCases[[#This Row],[Price]],FIND(" ",OpenPendingCases[[#This Row],[Price]])-1)),"")</f>
        <v/>
      </c>
      <c r="AM313" s="165" t="str">
        <f>IFERROR(VALUE(_xlfn.TEXTBEFORE(OpenPendingCases[[#This Row],[Price]]," AED")),"")</f>
        <v/>
      </c>
      <c r="AN313" s="165"/>
    </row>
    <row r="314" spans="3:40" ht="18" hidden="1" x14ac:dyDescent="0.35">
      <c r="C314" s="134"/>
      <c r="D314" s="137" t="str">
        <f>IF($U314="Open Sale", IF(MAX($D$4:D313)+1=0, "", MAX($D$4:D313)+1), "")</f>
        <v/>
      </c>
      <c r="E314" s="137" t="str">
        <f>IF($U314="Pending Allocation", IF(MAX($E$4:E313)+1=0, "", MAX($E$4:E313)+1), "")</f>
        <v/>
      </c>
      <c r="F314" s="137"/>
      <c r="G314" s="137"/>
      <c r="H314" s="150"/>
      <c r="I314" s="150"/>
      <c r="J314" s="68" t="str">
        <f>IF(OpenPendingCases[[#This Row],[Timepiece Reference ]]="", "", IF(_xlfn.XLOOKUP(OpenPendingCases[[#This Row],[Timepiece Reference ]], Table1[[Timepiece Reference ]], Table1[CRC STOCK], "Not Found")="YES", "CRC Stock", "Boutique Stock"))</f>
        <v/>
      </c>
      <c r="K314" s="137" t="str">
        <f>IF(OpenPendingCases[[#This Row],[Timepiece Reference ]]="", "", IF(_xlfn.XLOOKUP(OpenPendingCases[[#This Row],[Timepiece Reference ]], Table1[[Timepiece Reference ]], Table1[CRC STOCK], "Not Found")="YES", "CRC Stock", "Boutique Stock"))</f>
        <v/>
      </c>
      <c r="L314" s="143"/>
      <c r="M314" s="141"/>
      <c r="N314" s="137"/>
      <c r="O314" s="134"/>
      <c r="P314" s="94" t="str">
        <f>IFERROR(VLOOKUP(TRIM(O314), Collection!$B$2:$D$1001, 2, FALSE), "")</f>
        <v/>
      </c>
      <c r="Q314" s="190" t="str">
        <f>IFERROR(VLOOKUP(TRIM(O314), Collection!$B$2:$D$1001, 3, FALSE), "")</f>
        <v/>
      </c>
      <c r="R314" s="153" t="str">
        <f t="shared" si="30"/>
        <v/>
      </c>
      <c r="S314" s="151"/>
      <c r="T314" s="158"/>
      <c r="U314" s="137"/>
      <c r="V314" s="137"/>
      <c r="W314" s="156" t="str">
        <f t="shared" si="34"/>
        <v/>
      </c>
      <c r="X314" s="157"/>
      <c r="Y314" s="158"/>
      <c r="Z314" s="158"/>
      <c r="AA314" s="137" t="str">
        <f t="shared" ca="1" si="35"/>
        <v/>
      </c>
      <c r="AB314" s="137" t="str">
        <f t="shared" ca="1" si="31"/>
        <v/>
      </c>
      <c r="AC314" s="160" t="str">
        <f t="shared" ca="1" si="32"/>
        <v/>
      </c>
      <c r="AD314" s="159" t="str">
        <f t="shared" ca="1" si="33"/>
        <v/>
      </c>
      <c r="AE314" s="161"/>
      <c r="AF314" s="161"/>
      <c r="AG314" s="161"/>
      <c r="AH314" s="137"/>
      <c r="AI314" s="164" t="str">
        <f t="shared" si="36"/>
        <v/>
      </c>
      <c r="AJ314" s="164" t="str">
        <f>IF(AND(OpenPendingCases[[#This Row],[Sale Status	]]="Open Sale",OpenPendingCases[[#This Row],[Potential Same Month]]="High"),TEXT(OpenPendingCases[[#This Row],[Request Entry Date]], "[$-en-us]mmmm"),"")</f>
        <v/>
      </c>
      <c r="AK314" s="165" t="str">
        <f>IFERROR(VALUE(SUBSTITUTE(OpenPendingCases[[#This Row],[Price]]," AED","")),"")</f>
        <v/>
      </c>
      <c r="AL314" s="165" t="str">
        <f>IFERROR(VALUE(LEFT(OpenPendingCases[[#This Row],[Price]],FIND(" ",OpenPendingCases[[#This Row],[Price]])-1)),"")</f>
        <v/>
      </c>
      <c r="AM314" s="165" t="str">
        <f>IFERROR(VALUE(_xlfn.TEXTBEFORE(OpenPendingCases[[#This Row],[Price]]," AED")),"")</f>
        <v/>
      </c>
      <c r="AN314" s="165"/>
    </row>
    <row r="315" spans="3:40" ht="18" hidden="1" x14ac:dyDescent="0.35">
      <c r="C315" s="134"/>
      <c r="D315" s="137" t="str">
        <f>IF($U315="Open Sale", IF(MAX($D$4:D314)+1=0, "", MAX($D$4:D314)+1), "")</f>
        <v/>
      </c>
      <c r="E315" s="137" t="str">
        <f>IF($U315="Pending Allocation", IF(MAX($E$4:E314)+1=0, "", MAX($E$4:E314)+1), "")</f>
        <v/>
      </c>
      <c r="F315" s="137"/>
      <c r="G315" s="137"/>
      <c r="H315" s="150"/>
      <c r="I315" s="150"/>
      <c r="J315" s="68" t="str">
        <f>IF(OpenPendingCases[[#This Row],[Timepiece Reference ]]="", "", IF(_xlfn.XLOOKUP(OpenPendingCases[[#This Row],[Timepiece Reference ]], Table1[[Timepiece Reference ]], Table1[CRC STOCK], "Not Found")="YES", "CRC Stock", "Boutique Stock"))</f>
        <v/>
      </c>
      <c r="K315" s="137" t="str">
        <f>IF(OpenPendingCases[[#This Row],[Timepiece Reference ]]="", "", IF(_xlfn.XLOOKUP(OpenPendingCases[[#This Row],[Timepiece Reference ]], Table1[[Timepiece Reference ]], Table1[CRC STOCK], "Not Found")="YES", "CRC Stock", "Boutique Stock"))</f>
        <v/>
      </c>
      <c r="L315" s="143"/>
      <c r="M315" s="141"/>
      <c r="N315" s="137"/>
      <c r="O315" s="134"/>
      <c r="P315" s="94" t="str">
        <f>IFERROR(VLOOKUP(TRIM(O315), Collection!$B$2:$D$1001, 2, FALSE), "")</f>
        <v/>
      </c>
      <c r="Q315" s="190" t="str">
        <f>IFERROR(VLOOKUP(TRIM(O315), Collection!$B$2:$D$1001, 3, FALSE), "")</f>
        <v/>
      </c>
      <c r="R315" s="153" t="str">
        <f t="shared" si="30"/>
        <v/>
      </c>
      <c r="S315" s="151"/>
      <c r="T315" s="158"/>
      <c r="U315" s="137"/>
      <c r="V315" s="137"/>
      <c r="W315" s="156" t="str">
        <f t="shared" si="34"/>
        <v/>
      </c>
      <c r="X315" s="157"/>
      <c r="Y315" s="158"/>
      <c r="Z315" s="158"/>
      <c r="AA315" s="137" t="str">
        <f t="shared" ca="1" si="35"/>
        <v/>
      </c>
      <c r="AB315" s="137" t="str">
        <f t="shared" ca="1" si="31"/>
        <v/>
      </c>
      <c r="AC315" s="160" t="str">
        <f t="shared" ca="1" si="32"/>
        <v/>
      </c>
      <c r="AD315" s="159" t="str">
        <f t="shared" ca="1" si="33"/>
        <v/>
      </c>
      <c r="AE315" s="161"/>
      <c r="AF315" s="161"/>
      <c r="AG315" s="161"/>
      <c r="AH315" s="137"/>
      <c r="AI315" s="164" t="str">
        <f t="shared" si="36"/>
        <v/>
      </c>
      <c r="AJ315" s="164" t="str">
        <f>IF(AND(OpenPendingCases[[#This Row],[Sale Status	]]="Open Sale",OpenPendingCases[[#This Row],[Potential Same Month]]="High"),TEXT(OpenPendingCases[[#This Row],[Request Entry Date]], "[$-en-us]mmmm"),"")</f>
        <v/>
      </c>
      <c r="AK315" s="165" t="str">
        <f>IFERROR(VALUE(SUBSTITUTE(OpenPendingCases[[#This Row],[Price]]," AED","")),"")</f>
        <v/>
      </c>
      <c r="AL315" s="165" t="str">
        <f>IFERROR(VALUE(LEFT(OpenPendingCases[[#This Row],[Price]],FIND(" ",OpenPendingCases[[#This Row],[Price]])-1)),"")</f>
        <v/>
      </c>
      <c r="AM315" s="165" t="str">
        <f>IFERROR(VALUE(_xlfn.TEXTBEFORE(OpenPendingCases[[#This Row],[Price]]," AED")),"")</f>
        <v/>
      </c>
      <c r="AN315" s="165"/>
    </row>
    <row r="316" spans="3:40" ht="18" hidden="1" x14ac:dyDescent="0.35">
      <c r="C316" s="134"/>
      <c r="D316" s="137" t="str">
        <f>IF($U316="Open Sale", IF(MAX($D$4:D315)+1=0, "", MAX($D$4:D315)+1), "")</f>
        <v/>
      </c>
      <c r="E316" s="137" t="str">
        <f>IF($U316="Pending Allocation", IF(MAX($E$4:E315)+1=0, "", MAX($E$4:E315)+1), "")</f>
        <v/>
      </c>
      <c r="F316" s="137"/>
      <c r="G316" s="137"/>
      <c r="H316" s="150"/>
      <c r="I316" s="150"/>
      <c r="J316" s="68" t="str">
        <f>IF(OpenPendingCases[[#This Row],[Timepiece Reference ]]="", "", IF(_xlfn.XLOOKUP(OpenPendingCases[[#This Row],[Timepiece Reference ]], Table1[[Timepiece Reference ]], Table1[CRC STOCK], "Not Found")="YES", "CRC Stock", "Boutique Stock"))</f>
        <v/>
      </c>
      <c r="K316" s="137" t="str">
        <f>IF(OpenPendingCases[[#This Row],[Timepiece Reference ]]="", "", IF(_xlfn.XLOOKUP(OpenPendingCases[[#This Row],[Timepiece Reference ]], Table1[[Timepiece Reference ]], Table1[CRC STOCK], "Not Found")="YES", "CRC Stock", "Boutique Stock"))</f>
        <v/>
      </c>
      <c r="L316" s="143"/>
      <c r="M316" s="141"/>
      <c r="N316" s="137"/>
      <c r="O316" s="134"/>
      <c r="P316" s="94" t="str">
        <f>IFERROR(VLOOKUP(TRIM(O316), Collection!$B$2:$D$1001, 2, FALSE), "")</f>
        <v/>
      </c>
      <c r="Q316" s="190" t="str">
        <f>IFERROR(VLOOKUP(TRIM(O316), Collection!$B$2:$D$1001, 3, FALSE), "")</f>
        <v/>
      </c>
      <c r="R316" s="153" t="str">
        <f t="shared" si="30"/>
        <v/>
      </c>
      <c r="S316" s="151"/>
      <c r="T316" s="158"/>
      <c r="U316" s="137"/>
      <c r="V316" s="137"/>
      <c r="W316" s="156" t="str">
        <f t="shared" si="34"/>
        <v/>
      </c>
      <c r="X316" s="157"/>
      <c r="Y316" s="158"/>
      <c r="Z316" s="158"/>
      <c r="AA316" s="137" t="str">
        <f t="shared" ca="1" si="35"/>
        <v/>
      </c>
      <c r="AB316" s="137" t="str">
        <f t="shared" ca="1" si="31"/>
        <v/>
      </c>
      <c r="AC316" s="160" t="str">
        <f t="shared" ca="1" si="32"/>
        <v/>
      </c>
      <c r="AD316" s="159" t="str">
        <f t="shared" ca="1" si="33"/>
        <v/>
      </c>
      <c r="AE316" s="161"/>
      <c r="AF316" s="161"/>
      <c r="AG316" s="161"/>
      <c r="AH316" s="137"/>
      <c r="AI316" s="164" t="str">
        <f t="shared" si="36"/>
        <v/>
      </c>
      <c r="AJ316" s="164" t="str">
        <f>IF(AND(OpenPendingCases[[#This Row],[Sale Status	]]="Open Sale",OpenPendingCases[[#This Row],[Potential Same Month]]="High"),TEXT(OpenPendingCases[[#This Row],[Request Entry Date]], "[$-en-us]mmmm"),"")</f>
        <v/>
      </c>
      <c r="AK316" s="165" t="str">
        <f>IFERROR(VALUE(SUBSTITUTE(OpenPendingCases[[#This Row],[Price]]," AED","")),"")</f>
        <v/>
      </c>
      <c r="AL316" s="165" t="str">
        <f>IFERROR(VALUE(LEFT(OpenPendingCases[[#This Row],[Price]],FIND(" ",OpenPendingCases[[#This Row],[Price]])-1)),"")</f>
        <v/>
      </c>
      <c r="AM316" s="165" t="str">
        <f>IFERROR(VALUE(_xlfn.TEXTBEFORE(OpenPendingCases[[#This Row],[Price]]," AED")),"")</f>
        <v/>
      </c>
      <c r="AN316" s="165"/>
    </row>
    <row r="317" spans="3:40" ht="18" hidden="1" x14ac:dyDescent="0.35">
      <c r="C317" s="134"/>
      <c r="D317" s="137" t="str">
        <f>IF($U317="Open Sale", IF(MAX($D$4:D316)+1=0, "", MAX($D$4:D316)+1), "")</f>
        <v/>
      </c>
      <c r="E317" s="137" t="str">
        <f>IF($U317="Pending Allocation", IF(MAX($E$4:E316)+1=0, "", MAX($E$4:E316)+1), "")</f>
        <v/>
      </c>
      <c r="F317" s="137"/>
      <c r="G317" s="137"/>
      <c r="H317" s="150"/>
      <c r="I317" s="150"/>
      <c r="J317" s="68" t="str">
        <f>IF(OpenPendingCases[[#This Row],[Timepiece Reference ]]="", "", IF(_xlfn.XLOOKUP(OpenPendingCases[[#This Row],[Timepiece Reference ]], Table1[[Timepiece Reference ]], Table1[CRC STOCK], "Not Found")="YES", "CRC Stock", "Boutique Stock"))</f>
        <v/>
      </c>
      <c r="K317" s="137" t="str">
        <f>IF(OpenPendingCases[[#This Row],[Timepiece Reference ]]="", "", IF(_xlfn.XLOOKUP(OpenPendingCases[[#This Row],[Timepiece Reference ]], Table1[[Timepiece Reference ]], Table1[CRC STOCK], "Not Found")="YES", "CRC Stock", "Boutique Stock"))</f>
        <v/>
      </c>
      <c r="L317" s="143"/>
      <c r="M317" s="141"/>
      <c r="N317" s="137"/>
      <c r="O317" s="134"/>
      <c r="P317" s="94" t="str">
        <f>IFERROR(VLOOKUP(TRIM(O317), Collection!$B$2:$D$1001, 2, FALSE), "")</f>
        <v/>
      </c>
      <c r="Q317" s="190" t="str">
        <f>IFERROR(VLOOKUP(TRIM(O317), Collection!$B$2:$D$1001, 3, FALSE), "")</f>
        <v/>
      </c>
      <c r="R317" s="153" t="str">
        <f t="shared" si="30"/>
        <v/>
      </c>
      <c r="S317" s="151"/>
      <c r="T317" s="158"/>
      <c r="U317" s="137"/>
      <c r="V317" s="137"/>
      <c r="W317" s="156" t="str">
        <f t="shared" si="34"/>
        <v/>
      </c>
      <c r="X317" s="157"/>
      <c r="Y317" s="158"/>
      <c r="Z317" s="158"/>
      <c r="AA317" s="137" t="str">
        <f t="shared" ca="1" si="35"/>
        <v/>
      </c>
      <c r="AB317" s="137" t="str">
        <f t="shared" ca="1" si="31"/>
        <v/>
      </c>
      <c r="AC317" s="160" t="str">
        <f t="shared" ca="1" si="32"/>
        <v/>
      </c>
      <c r="AD317" s="159" t="str">
        <f t="shared" ca="1" si="33"/>
        <v/>
      </c>
      <c r="AE317" s="161"/>
      <c r="AF317" s="161"/>
      <c r="AG317" s="161"/>
      <c r="AH317" s="137"/>
      <c r="AI317" s="164" t="str">
        <f t="shared" si="36"/>
        <v/>
      </c>
      <c r="AJ317" s="164" t="str">
        <f>IF(AND(OpenPendingCases[[#This Row],[Sale Status	]]="Open Sale",OpenPendingCases[[#This Row],[Potential Same Month]]="High"),TEXT(OpenPendingCases[[#This Row],[Request Entry Date]], "[$-en-us]mmmm"),"")</f>
        <v/>
      </c>
      <c r="AK317" s="165" t="str">
        <f>IFERROR(VALUE(SUBSTITUTE(OpenPendingCases[[#This Row],[Price]]," AED","")),"")</f>
        <v/>
      </c>
      <c r="AL317" s="165" t="str">
        <f>IFERROR(VALUE(LEFT(OpenPendingCases[[#This Row],[Price]],FIND(" ",OpenPendingCases[[#This Row],[Price]])-1)),"")</f>
        <v/>
      </c>
      <c r="AM317" s="165" t="str">
        <f>IFERROR(VALUE(_xlfn.TEXTBEFORE(OpenPendingCases[[#This Row],[Price]]," AED")),"")</f>
        <v/>
      </c>
      <c r="AN317" s="165"/>
    </row>
    <row r="318" spans="3:40" ht="18" hidden="1" x14ac:dyDescent="0.35">
      <c r="C318" s="134"/>
      <c r="D318" s="137" t="str">
        <f>IF($U318="Open Sale", IF(MAX($D$4:D317)+1=0, "", MAX($D$4:D317)+1), "")</f>
        <v/>
      </c>
      <c r="E318" s="137" t="str">
        <f>IF($U318="Pending Allocation", IF(MAX($E$4:E317)+1=0, "", MAX($E$4:E317)+1), "")</f>
        <v/>
      </c>
      <c r="F318" s="137"/>
      <c r="G318" s="137"/>
      <c r="H318" s="150"/>
      <c r="I318" s="150"/>
      <c r="J318" s="68" t="str">
        <f>IF(OpenPendingCases[[#This Row],[Timepiece Reference ]]="", "", IF(_xlfn.XLOOKUP(OpenPendingCases[[#This Row],[Timepiece Reference ]], Table1[[Timepiece Reference ]], Table1[CRC STOCK], "Not Found")="YES", "CRC Stock", "Boutique Stock"))</f>
        <v/>
      </c>
      <c r="K318" s="137" t="str">
        <f>IF(OpenPendingCases[[#This Row],[Timepiece Reference ]]="", "", IF(_xlfn.XLOOKUP(OpenPendingCases[[#This Row],[Timepiece Reference ]], Table1[[Timepiece Reference ]], Table1[CRC STOCK], "Not Found")="YES", "CRC Stock", "Boutique Stock"))</f>
        <v/>
      </c>
      <c r="L318" s="143"/>
      <c r="M318" s="141"/>
      <c r="N318" s="137"/>
      <c r="O318" s="134"/>
      <c r="P318" s="94" t="str">
        <f>IFERROR(VLOOKUP(TRIM(O318), Collection!$B$2:$D$1001, 2, FALSE), "")</f>
        <v/>
      </c>
      <c r="Q318" s="190" t="str">
        <f>IFERROR(VLOOKUP(TRIM(O318), Collection!$B$2:$D$1001, 3, FALSE), "")</f>
        <v/>
      </c>
      <c r="R318" s="153" t="str">
        <f t="shared" si="30"/>
        <v/>
      </c>
      <c r="S318" s="151"/>
      <c r="T318" s="158"/>
      <c r="U318" s="137"/>
      <c r="V318" s="137"/>
      <c r="W318" s="156" t="str">
        <f t="shared" si="34"/>
        <v/>
      </c>
      <c r="X318" s="157"/>
      <c r="Y318" s="158"/>
      <c r="Z318" s="158"/>
      <c r="AA318" s="137" t="str">
        <f t="shared" ca="1" si="35"/>
        <v/>
      </c>
      <c r="AB318" s="137" t="str">
        <f t="shared" ca="1" si="31"/>
        <v/>
      </c>
      <c r="AC318" s="160" t="str">
        <f t="shared" ca="1" si="32"/>
        <v/>
      </c>
      <c r="AD318" s="159" t="str">
        <f t="shared" ca="1" si="33"/>
        <v/>
      </c>
      <c r="AE318" s="161"/>
      <c r="AF318" s="161"/>
      <c r="AG318" s="161"/>
      <c r="AH318" s="137"/>
      <c r="AI318" s="164" t="str">
        <f t="shared" si="36"/>
        <v/>
      </c>
      <c r="AJ318" s="164" t="str">
        <f>IF(AND(OpenPendingCases[[#This Row],[Sale Status	]]="Open Sale",OpenPendingCases[[#This Row],[Potential Same Month]]="High"),TEXT(OpenPendingCases[[#This Row],[Request Entry Date]], "[$-en-us]mmmm"),"")</f>
        <v/>
      </c>
      <c r="AK318" s="165" t="str">
        <f>IFERROR(VALUE(SUBSTITUTE(OpenPendingCases[[#This Row],[Price]]," AED","")),"")</f>
        <v/>
      </c>
      <c r="AL318" s="165" t="str">
        <f>IFERROR(VALUE(LEFT(OpenPendingCases[[#This Row],[Price]],FIND(" ",OpenPendingCases[[#This Row],[Price]])-1)),"")</f>
        <v/>
      </c>
      <c r="AM318" s="165" t="str">
        <f>IFERROR(VALUE(_xlfn.TEXTBEFORE(OpenPendingCases[[#This Row],[Price]]," AED")),"")</f>
        <v/>
      </c>
      <c r="AN318" s="165"/>
    </row>
    <row r="319" spans="3:40" ht="18" hidden="1" x14ac:dyDescent="0.35">
      <c r="C319" s="134"/>
      <c r="D319" s="137" t="str">
        <f>IF($U319="Open Sale", IF(MAX($D$4:D318)+1=0, "", MAX($D$4:D318)+1), "")</f>
        <v/>
      </c>
      <c r="E319" s="137" t="str">
        <f>IF($U319="Pending Allocation", IF(MAX($E$4:E318)+1=0, "", MAX($E$4:E318)+1), "")</f>
        <v/>
      </c>
      <c r="F319" s="137"/>
      <c r="G319" s="137"/>
      <c r="H319" s="150"/>
      <c r="I319" s="150"/>
      <c r="J319" s="68" t="str">
        <f>IF(OpenPendingCases[[#This Row],[Timepiece Reference ]]="", "", IF(_xlfn.XLOOKUP(OpenPendingCases[[#This Row],[Timepiece Reference ]], Table1[[Timepiece Reference ]], Table1[CRC STOCK], "Not Found")="YES", "CRC Stock", "Boutique Stock"))</f>
        <v/>
      </c>
      <c r="K319" s="137" t="str">
        <f>IF(OpenPendingCases[[#This Row],[Timepiece Reference ]]="", "", IF(_xlfn.XLOOKUP(OpenPendingCases[[#This Row],[Timepiece Reference ]], Table1[[Timepiece Reference ]], Table1[CRC STOCK], "Not Found")="YES", "CRC Stock", "Boutique Stock"))</f>
        <v/>
      </c>
      <c r="L319" s="143"/>
      <c r="M319" s="141"/>
      <c r="N319" s="137"/>
      <c r="O319" s="134"/>
      <c r="P319" s="94" t="str">
        <f>IFERROR(VLOOKUP(TRIM(O319), Collection!$B$2:$D$1001, 2, FALSE), "")</f>
        <v/>
      </c>
      <c r="Q319" s="190" t="str">
        <f>IFERROR(VLOOKUP(TRIM(O319), Collection!$B$2:$D$1001, 3, FALSE), "")</f>
        <v/>
      </c>
      <c r="R319" s="153" t="str">
        <f t="shared" si="30"/>
        <v/>
      </c>
      <c r="S319" s="151"/>
      <c r="T319" s="158"/>
      <c r="U319" s="137"/>
      <c r="V319" s="137"/>
      <c r="W319" s="156" t="str">
        <f t="shared" si="34"/>
        <v/>
      </c>
      <c r="X319" s="157"/>
      <c r="Y319" s="158"/>
      <c r="Z319" s="158"/>
      <c r="AA319" s="137" t="str">
        <f t="shared" ca="1" si="35"/>
        <v/>
      </c>
      <c r="AB319" s="137" t="str">
        <f t="shared" ca="1" si="31"/>
        <v/>
      </c>
      <c r="AC319" s="160" t="str">
        <f t="shared" ca="1" si="32"/>
        <v/>
      </c>
      <c r="AD319" s="159" t="str">
        <f t="shared" ca="1" si="33"/>
        <v/>
      </c>
      <c r="AE319" s="161"/>
      <c r="AF319" s="161"/>
      <c r="AG319" s="161"/>
      <c r="AH319" s="137"/>
      <c r="AI319" s="164" t="str">
        <f t="shared" si="36"/>
        <v/>
      </c>
      <c r="AJ319" s="164" t="str">
        <f>IF(AND(OpenPendingCases[[#This Row],[Sale Status	]]="Open Sale",OpenPendingCases[[#This Row],[Potential Same Month]]="High"),TEXT(OpenPendingCases[[#This Row],[Request Entry Date]], "[$-en-us]mmmm"),"")</f>
        <v/>
      </c>
      <c r="AK319" s="165" t="str">
        <f>IFERROR(VALUE(SUBSTITUTE(OpenPendingCases[[#This Row],[Price]]," AED","")),"")</f>
        <v/>
      </c>
      <c r="AL319" s="165" t="str">
        <f>IFERROR(VALUE(LEFT(OpenPendingCases[[#This Row],[Price]],FIND(" ",OpenPendingCases[[#This Row],[Price]])-1)),"")</f>
        <v/>
      </c>
      <c r="AM319" s="165" t="str">
        <f>IFERROR(VALUE(_xlfn.TEXTBEFORE(OpenPendingCases[[#This Row],[Price]]," AED")),"")</f>
        <v/>
      </c>
      <c r="AN319" s="165"/>
    </row>
    <row r="320" spans="3:40" ht="18" hidden="1" x14ac:dyDescent="0.35">
      <c r="C320" s="134"/>
      <c r="D320" s="137" t="str">
        <f>IF($U320="Open Sale", IF(MAX($D$4:D319)+1=0, "", MAX($D$4:D319)+1), "")</f>
        <v/>
      </c>
      <c r="E320" s="137" t="str">
        <f>IF($U320="Pending Allocation", IF(MAX($E$4:E319)+1=0, "", MAX($E$4:E319)+1), "")</f>
        <v/>
      </c>
      <c r="F320" s="137"/>
      <c r="G320" s="137"/>
      <c r="H320" s="150"/>
      <c r="I320" s="150"/>
      <c r="J320" s="68" t="str">
        <f>IF(OpenPendingCases[[#This Row],[Timepiece Reference ]]="", "", IF(_xlfn.XLOOKUP(OpenPendingCases[[#This Row],[Timepiece Reference ]], Table1[[Timepiece Reference ]], Table1[CRC STOCK], "Not Found")="YES", "CRC Stock", "Boutique Stock"))</f>
        <v/>
      </c>
      <c r="K320" s="137" t="str">
        <f>IF(OpenPendingCases[[#This Row],[Timepiece Reference ]]="", "", IF(_xlfn.XLOOKUP(OpenPendingCases[[#This Row],[Timepiece Reference ]], Table1[[Timepiece Reference ]], Table1[CRC STOCK], "Not Found")="YES", "CRC Stock", "Boutique Stock"))</f>
        <v/>
      </c>
      <c r="L320" s="143"/>
      <c r="M320" s="141"/>
      <c r="N320" s="137"/>
      <c r="O320" s="134"/>
      <c r="P320" s="94" t="str">
        <f>IFERROR(VLOOKUP(TRIM(O320), Collection!$B$2:$D$1001, 2, FALSE), "")</f>
        <v/>
      </c>
      <c r="Q320" s="190" t="str">
        <f>IFERROR(VLOOKUP(TRIM(O320), Collection!$B$2:$D$1001, 3, FALSE), "")</f>
        <v/>
      </c>
      <c r="R320" s="153" t="str">
        <f t="shared" si="30"/>
        <v/>
      </c>
      <c r="S320" s="151"/>
      <c r="T320" s="158"/>
      <c r="U320" s="137"/>
      <c r="V320" s="137"/>
      <c r="W320" s="156" t="str">
        <f t="shared" si="34"/>
        <v/>
      </c>
      <c r="X320" s="157"/>
      <c r="Y320" s="158"/>
      <c r="Z320" s="158"/>
      <c r="AA320" s="137" t="str">
        <f t="shared" ca="1" si="35"/>
        <v/>
      </c>
      <c r="AB320" s="137" t="str">
        <f t="shared" ca="1" si="31"/>
        <v/>
      </c>
      <c r="AC320" s="160" t="str">
        <f t="shared" ca="1" si="32"/>
        <v/>
      </c>
      <c r="AD320" s="159" t="str">
        <f t="shared" ca="1" si="33"/>
        <v/>
      </c>
      <c r="AE320" s="161"/>
      <c r="AF320" s="161"/>
      <c r="AG320" s="161"/>
      <c r="AH320" s="137"/>
      <c r="AI320" s="164" t="str">
        <f t="shared" si="36"/>
        <v/>
      </c>
      <c r="AJ320" s="164" t="str">
        <f>IF(AND(OpenPendingCases[[#This Row],[Sale Status	]]="Open Sale",OpenPendingCases[[#This Row],[Potential Same Month]]="High"),TEXT(OpenPendingCases[[#This Row],[Request Entry Date]], "[$-en-us]mmmm"),"")</f>
        <v/>
      </c>
      <c r="AK320" s="165" t="str">
        <f>IFERROR(VALUE(SUBSTITUTE(OpenPendingCases[[#This Row],[Price]]," AED","")),"")</f>
        <v/>
      </c>
      <c r="AL320" s="165" t="str">
        <f>IFERROR(VALUE(LEFT(OpenPendingCases[[#This Row],[Price]],FIND(" ",OpenPendingCases[[#This Row],[Price]])-1)),"")</f>
        <v/>
      </c>
      <c r="AM320" s="165" t="str">
        <f>IFERROR(VALUE(_xlfn.TEXTBEFORE(OpenPendingCases[[#This Row],[Price]]," AED")),"")</f>
        <v/>
      </c>
      <c r="AN320" s="165"/>
    </row>
    <row r="321" spans="3:40" ht="18" hidden="1" x14ac:dyDescent="0.35">
      <c r="C321" s="134"/>
      <c r="D321" s="137" t="str">
        <f>IF($U321="Open Sale", IF(MAX($D$4:D320)+1=0, "", MAX($D$4:D320)+1), "")</f>
        <v/>
      </c>
      <c r="E321" s="137" t="str">
        <f>IF($U321="Pending Allocation", IF(MAX($E$4:E320)+1=0, "", MAX($E$4:E320)+1), "")</f>
        <v/>
      </c>
      <c r="F321" s="137"/>
      <c r="G321" s="137"/>
      <c r="H321" s="150"/>
      <c r="I321" s="150"/>
      <c r="J321" s="68" t="str">
        <f>IF(OpenPendingCases[[#This Row],[Timepiece Reference ]]="", "", IF(_xlfn.XLOOKUP(OpenPendingCases[[#This Row],[Timepiece Reference ]], Table1[[Timepiece Reference ]], Table1[CRC STOCK], "Not Found")="YES", "CRC Stock", "Boutique Stock"))</f>
        <v/>
      </c>
      <c r="K321" s="137" t="str">
        <f>IF(OpenPendingCases[[#This Row],[Timepiece Reference ]]="", "", IF(_xlfn.XLOOKUP(OpenPendingCases[[#This Row],[Timepiece Reference ]], Table1[[Timepiece Reference ]], Table1[CRC STOCK], "Not Found")="YES", "CRC Stock", "Boutique Stock"))</f>
        <v/>
      </c>
      <c r="L321" s="143"/>
      <c r="M321" s="141"/>
      <c r="N321" s="137"/>
      <c r="O321" s="134"/>
      <c r="P321" s="94" t="str">
        <f>IFERROR(VLOOKUP(TRIM(O321), Collection!$B$2:$D$1001, 2, FALSE), "")</f>
        <v/>
      </c>
      <c r="Q321" s="190" t="str">
        <f>IFERROR(VLOOKUP(TRIM(O321), Collection!$B$2:$D$1001, 3, FALSE), "")</f>
        <v/>
      </c>
      <c r="R321" s="153" t="str">
        <f t="shared" si="30"/>
        <v/>
      </c>
      <c r="S321" s="151"/>
      <c r="T321" s="158"/>
      <c r="U321" s="137"/>
      <c r="V321" s="137"/>
      <c r="W321" s="156" t="str">
        <f t="shared" si="34"/>
        <v/>
      </c>
      <c r="X321" s="157"/>
      <c r="Y321" s="158"/>
      <c r="Z321" s="158"/>
      <c r="AA321" s="137" t="str">
        <f t="shared" ca="1" si="35"/>
        <v/>
      </c>
      <c r="AB321" s="137" t="str">
        <f t="shared" ca="1" si="31"/>
        <v/>
      </c>
      <c r="AC321" s="160" t="str">
        <f t="shared" ca="1" si="32"/>
        <v/>
      </c>
      <c r="AD321" s="159" t="str">
        <f t="shared" ca="1" si="33"/>
        <v/>
      </c>
      <c r="AE321" s="161"/>
      <c r="AF321" s="161"/>
      <c r="AG321" s="161"/>
      <c r="AH321" s="137"/>
      <c r="AI321" s="164" t="str">
        <f t="shared" si="36"/>
        <v/>
      </c>
      <c r="AJ321" s="164" t="str">
        <f>IF(AND(OpenPendingCases[[#This Row],[Sale Status	]]="Open Sale",OpenPendingCases[[#This Row],[Potential Same Month]]="High"),TEXT(OpenPendingCases[[#This Row],[Request Entry Date]], "[$-en-us]mmmm"),"")</f>
        <v/>
      </c>
      <c r="AK321" s="165" t="str">
        <f>IFERROR(VALUE(SUBSTITUTE(OpenPendingCases[[#This Row],[Price]]," AED","")),"")</f>
        <v/>
      </c>
      <c r="AL321" s="165" t="str">
        <f>IFERROR(VALUE(LEFT(OpenPendingCases[[#This Row],[Price]],FIND(" ",OpenPendingCases[[#This Row],[Price]])-1)),"")</f>
        <v/>
      </c>
      <c r="AM321" s="165" t="str">
        <f>IFERROR(VALUE(_xlfn.TEXTBEFORE(OpenPendingCases[[#This Row],[Price]]," AED")),"")</f>
        <v/>
      </c>
      <c r="AN321" s="165"/>
    </row>
    <row r="322" spans="3:40" ht="18" hidden="1" x14ac:dyDescent="0.35">
      <c r="C322" s="134"/>
      <c r="D322" s="137" t="str">
        <f>IF($U322="Open Sale", IF(MAX($D$4:D321)+1=0, "", MAX($D$4:D321)+1), "")</f>
        <v/>
      </c>
      <c r="E322" s="137" t="str">
        <f>IF($U322="Pending Allocation", IF(MAX($E$4:E321)+1=0, "", MAX($E$4:E321)+1), "")</f>
        <v/>
      </c>
      <c r="F322" s="137"/>
      <c r="G322" s="137"/>
      <c r="H322" s="150"/>
      <c r="I322" s="150"/>
      <c r="J322" s="68" t="str">
        <f>IF(OpenPendingCases[[#This Row],[Timepiece Reference ]]="", "", IF(_xlfn.XLOOKUP(OpenPendingCases[[#This Row],[Timepiece Reference ]], Table1[[Timepiece Reference ]], Table1[CRC STOCK], "Not Found")="YES", "CRC Stock", "Boutique Stock"))</f>
        <v/>
      </c>
      <c r="K322" s="137" t="str">
        <f>IF(OpenPendingCases[[#This Row],[Timepiece Reference ]]="", "", IF(_xlfn.XLOOKUP(OpenPendingCases[[#This Row],[Timepiece Reference ]], Table1[[Timepiece Reference ]], Table1[CRC STOCK], "Not Found")="YES", "CRC Stock", "Boutique Stock"))</f>
        <v/>
      </c>
      <c r="L322" s="143"/>
      <c r="M322" s="141"/>
      <c r="N322" s="137"/>
      <c r="O322" s="134"/>
      <c r="P322" s="94" t="str">
        <f>IFERROR(VLOOKUP(TRIM(O322), Collection!$B$2:$D$1001, 2, FALSE), "")</f>
        <v/>
      </c>
      <c r="Q322" s="190" t="str">
        <f>IFERROR(VLOOKUP(TRIM(O322), Collection!$B$2:$D$1001, 3, FALSE), "")</f>
        <v/>
      </c>
      <c r="R322" s="153" t="str">
        <f t="shared" si="30"/>
        <v/>
      </c>
      <c r="S322" s="151"/>
      <c r="T322" s="158"/>
      <c r="U322" s="137"/>
      <c r="V322" s="137"/>
      <c r="W322" s="156" t="str">
        <f t="shared" si="34"/>
        <v/>
      </c>
      <c r="X322" s="157"/>
      <c r="Y322" s="158"/>
      <c r="Z322" s="158"/>
      <c r="AA322" s="137" t="str">
        <f t="shared" ca="1" si="35"/>
        <v/>
      </c>
      <c r="AB322" s="137" t="str">
        <f t="shared" ca="1" si="31"/>
        <v/>
      </c>
      <c r="AC322" s="160" t="str">
        <f t="shared" ca="1" si="32"/>
        <v/>
      </c>
      <c r="AD322" s="159" t="str">
        <f t="shared" ca="1" si="33"/>
        <v/>
      </c>
      <c r="AE322" s="161"/>
      <c r="AF322" s="161"/>
      <c r="AG322" s="161"/>
      <c r="AH322" s="137"/>
      <c r="AI322" s="164" t="str">
        <f t="shared" si="36"/>
        <v/>
      </c>
      <c r="AJ322" s="164" t="str">
        <f>IF(AND(OpenPendingCases[[#This Row],[Sale Status	]]="Open Sale",OpenPendingCases[[#This Row],[Potential Same Month]]="High"),TEXT(OpenPendingCases[[#This Row],[Request Entry Date]], "[$-en-us]mmmm"),"")</f>
        <v/>
      </c>
      <c r="AK322" s="165" t="str">
        <f>IFERROR(VALUE(SUBSTITUTE(OpenPendingCases[[#This Row],[Price]]," AED","")),"")</f>
        <v/>
      </c>
      <c r="AL322" s="165" t="str">
        <f>IFERROR(VALUE(LEFT(OpenPendingCases[[#This Row],[Price]],FIND(" ",OpenPendingCases[[#This Row],[Price]])-1)),"")</f>
        <v/>
      </c>
      <c r="AM322" s="165" t="str">
        <f>IFERROR(VALUE(_xlfn.TEXTBEFORE(OpenPendingCases[[#This Row],[Price]]," AED")),"")</f>
        <v/>
      </c>
      <c r="AN322" s="165"/>
    </row>
    <row r="323" spans="3:40" ht="18" hidden="1" x14ac:dyDescent="0.35">
      <c r="C323" s="134"/>
      <c r="D323" s="137" t="str">
        <f>IF($U323="Open Sale", IF(MAX($D$4:D322)+1=0, "", MAX($D$4:D322)+1), "")</f>
        <v/>
      </c>
      <c r="E323" s="137" t="str">
        <f>IF($U323="Pending Allocation", IF(MAX($E$4:E322)+1=0, "", MAX($E$4:E322)+1), "")</f>
        <v/>
      </c>
      <c r="F323" s="137"/>
      <c r="G323" s="137"/>
      <c r="H323" s="150"/>
      <c r="I323" s="150"/>
      <c r="J323" s="68" t="str">
        <f>IF(OpenPendingCases[[#This Row],[Timepiece Reference ]]="", "", IF(_xlfn.XLOOKUP(OpenPendingCases[[#This Row],[Timepiece Reference ]], Table1[[Timepiece Reference ]], Table1[CRC STOCK], "Not Found")="YES", "CRC Stock", "Boutique Stock"))</f>
        <v/>
      </c>
      <c r="K323" s="137" t="str">
        <f>IF(OpenPendingCases[[#This Row],[Timepiece Reference ]]="", "", IF(_xlfn.XLOOKUP(OpenPendingCases[[#This Row],[Timepiece Reference ]], Table1[[Timepiece Reference ]], Table1[CRC STOCK], "Not Found")="YES", "CRC Stock", "Boutique Stock"))</f>
        <v/>
      </c>
      <c r="L323" s="143"/>
      <c r="M323" s="141"/>
      <c r="N323" s="137"/>
      <c r="O323" s="134"/>
      <c r="P323" s="94" t="str">
        <f>IFERROR(VLOOKUP(TRIM(O323), Collection!$B$2:$D$1001, 2, FALSE), "")</f>
        <v/>
      </c>
      <c r="Q323" s="190" t="str">
        <f>IFERROR(VLOOKUP(TRIM(O323), Collection!$B$2:$D$1001, 3, FALSE), "")</f>
        <v/>
      </c>
      <c r="R323" s="153" t="str">
        <f t="shared" ref="R323:R386" si="37">IFERROR(VALUE(SUBSTITUTE(SUBSTITUTE(Q323, "Price", ""), "AED", "")), "")</f>
        <v/>
      </c>
      <c r="S323" s="151"/>
      <c r="T323" s="158"/>
      <c r="U323" s="137"/>
      <c r="V323" s="137"/>
      <c r="W323" s="156" t="str">
        <f t="shared" si="34"/>
        <v/>
      </c>
      <c r="X323" s="157"/>
      <c r="Y323" s="158"/>
      <c r="Z323" s="158"/>
      <c r="AA323" s="137" t="str">
        <f t="shared" ca="1" si="35"/>
        <v/>
      </c>
      <c r="AB323" s="137" t="str">
        <f t="shared" ref="AB323:AB386" ca="1" si="38">IF(H323="", "", IF(OR(U323="Pending", U323="Pending Allocation"), CONCATENATE(TODAY()-H323, " Days"), IF(U323="Closed", "", "")))</f>
        <v/>
      </c>
      <c r="AC323" s="160" t="str">
        <f t="shared" ref="AC323:AC386" ca="1" si="39">IF(U323="Pending Allocation", IF(I323="", "", TODAY()-I323), "")</f>
        <v/>
      </c>
      <c r="AD323" s="159" t="str">
        <f t="shared" ref="AD323:AD386" ca="1" si="40">IF(U323="Open Sale", TEXT(TODAY()-I323, "0"),
   IF(U323="Pending", "",
      IF(U323="Closed Sale", "", "")))</f>
        <v/>
      </c>
      <c r="AE323" s="161"/>
      <c r="AF323" s="161"/>
      <c r="AG323" s="161"/>
      <c r="AH323" s="137"/>
      <c r="AI323" s="164" t="str">
        <f t="shared" si="36"/>
        <v/>
      </c>
      <c r="AJ323" s="164" t="str">
        <f>IF(AND(OpenPendingCases[[#This Row],[Sale Status	]]="Open Sale",OpenPendingCases[[#This Row],[Potential Same Month]]="High"),TEXT(OpenPendingCases[[#This Row],[Request Entry Date]], "[$-en-us]mmmm"),"")</f>
        <v/>
      </c>
      <c r="AK323" s="165" t="str">
        <f>IFERROR(VALUE(SUBSTITUTE(OpenPendingCases[[#This Row],[Price]]," AED","")),"")</f>
        <v/>
      </c>
      <c r="AL323" s="165" t="str">
        <f>IFERROR(VALUE(LEFT(OpenPendingCases[[#This Row],[Price]],FIND(" ",OpenPendingCases[[#This Row],[Price]])-1)),"")</f>
        <v/>
      </c>
      <c r="AM323" s="165" t="str">
        <f>IFERROR(VALUE(_xlfn.TEXTBEFORE(OpenPendingCases[[#This Row],[Price]]," AED")),"")</f>
        <v/>
      </c>
      <c r="AN323" s="165"/>
    </row>
    <row r="324" spans="3:40" ht="18" hidden="1" x14ac:dyDescent="0.35">
      <c r="C324" s="134"/>
      <c r="D324" s="137" t="str">
        <f>IF($U324="Open Sale", IF(MAX($D$4:D323)+1=0, "", MAX($D$4:D323)+1), "")</f>
        <v/>
      </c>
      <c r="E324" s="137" t="str">
        <f>IF($U324="Pending Allocation", IF(MAX($E$4:E323)+1=0, "", MAX($E$4:E323)+1), "")</f>
        <v/>
      </c>
      <c r="F324" s="137"/>
      <c r="G324" s="137"/>
      <c r="H324" s="150"/>
      <c r="I324" s="150"/>
      <c r="J324" s="68" t="str">
        <f>IF(OpenPendingCases[[#This Row],[Timepiece Reference ]]="", "", IF(_xlfn.XLOOKUP(OpenPendingCases[[#This Row],[Timepiece Reference ]], Table1[[Timepiece Reference ]], Table1[CRC STOCK], "Not Found")="YES", "CRC Stock", "Boutique Stock"))</f>
        <v/>
      </c>
      <c r="K324" s="137" t="str">
        <f>IF(OpenPendingCases[[#This Row],[Timepiece Reference ]]="", "", IF(_xlfn.XLOOKUP(OpenPendingCases[[#This Row],[Timepiece Reference ]], Table1[[Timepiece Reference ]], Table1[CRC STOCK], "Not Found")="YES", "CRC Stock", "Boutique Stock"))</f>
        <v/>
      </c>
      <c r="L324" s="143"/>
      <c r="M324" s="141"/>
      <c r="N324" s="137"/>
      <c r="O324" s="134"/>
      <c r="P324" s="94" t="str">
        <f>IFERROR(VLOOKUP(TRIM(O324), Collection!$B$2:$D$1001, 2, FALSE), "")</f>
        <v/>
      </c>
      <c r="Q324" s="190" t="str">
        <f>IFERROR(VLOOKUP(TRIM(O324), Collection!$B$2:$D$1001, 3, FALSE), "")</f>
        <v/>
      </c>
      <c r="R324" s="153" t="str">
        <f t="shared" si="37"/>
        <v/>
      </c>
      <c r="S324" s="151"/>
      <c r="T324" s="158"/>
      <c r="U324" s="137"/>
      <c r="V324" s="137"/>
      <c r="W324" s="156" t="str">
        <f t="shared" ref="W324:W387" si="41" xml:space="preserve"> IF(Z324 = "",
     "",
     TEXT(Z324, "mmmm"))</f>
        <v/>
      </c>
      <c r="X324" s="157"/>
      <c r="Y324" s="158"/>
      <c r="Z324" s="158"/>
      <c r="AA324" s="137" t="str">
        <f t="shared" ref="AA324:AA387" ca="1" si="42">IF(H324="", "", IF(U324="Open Sale", IF(TODAY()-H324=0, "0 Days", TEXT(TODAY()-H324, "0") &amp; " Days"), IF(U324="Closed Sale", AA324, "")))</f>
        <v/>
      </c>
      <c r="AB324" s="137" t="str">
        <f t="shared" ca="1" si="38"/>
        <v/>
      </c>
      <c r="AC324" s="160" t="str">
        <f t="shared" ca="1" si="39"/>
        <v/>
      </c>
      <c r="AD324" s="159" t="str">
        <f t="shared" ca="1" si="40"/>
        <v/>
      </c>
      <c r="AE324" s="161"/>
      <c r="AF324" s="161"/>
      <c r="AG324" s="161"/>
      <c r="AH324" s="137"/>
      <c r="AI324" s="164" t="str">
        <f t="shared" si="36"/>
        <v/>
      </c>
      <c r="AJ324" s="164" t="str">
        <f>IF(AND(OpenPendingCases[[#This Row],[Sale Status	]]="Open Sale",OpenPendingCases[[#This Row],[Potential Same Month]]="High"),TEXT(OpenPendingCases[[#This Row],[Request Entry Date]], "[$-en-us]mmmm"),"")</f>
        <v/>
      </c>
      <c r="AK324" s="165" t="str">
        <f>IFERROR(VALUE(SUBSTITUTE(OpenPendingCases[[#This Row],[Price]]," AED","")),"")</f>
        <v/>
      </c>
      <c r="AL324" s="165" t="str">
        <f>IFERROR(VALUE(LEFT(OpenPendingCases[[#This Row],[Price]],FIND(" ",OpenPendingCases[[#This Row],[Price]])-1)),"")</f>
        <v/>
      </c>
      <c r="AM324" s="165" t="str">
        <f>IFERROR(VALUE(_xlfn.TEXTBEFORE(OpenPendingCases[[#This Row],[Price]]," AED")),"")</f>
        <v/>
      </c>
      <c r="AN324" s="165"/>
    </row>
    <row r="325" spans="3:40" ht="18" hidden="1" x14ac:dyDescent="0.35">
      <c r="C325" s="134"/>
      <c r="D325" s="137" t="str">
        <f>IF($U325="Open Sale", IF(MAX($D$4:D324)+1=0, "", MAX($D$4:D324)+1), "")</f>
        <v/>
      </c>
      <c r="E325" s="137" t="str">
        <f>IF($U325="Pending Allocation", IF(MAX($E$4:E324)+1=0, "", MAX($E$4:E324)+1), "")</f>
        <v/>
      </c>
      <c r="F325" s="137"/>
      <c r="G325" s="137"/>
      <c r="H325" s="150"/>
      <c r="I325" s="150"/>
      <c r="J325" s="68" t="str">
        <f>IF(OpenPendingCases[[#This Row],[Timepiece Reference ]]="", "", IF(_xlfn.XLOOKUP(OpenPendingCases[[#This Row],[Timepiece Reference ]], Table1[[Timepiece Reference ]], Table1[CRC STOCK], "Not Found")="YES", "CRC Stock", "Boutique Stock"))</f>
        <v/>
      </c>
      <c r="K325" s="137" t="str">
        <f>IF(OpenPendingCases[[#This Row],[Timepiece Reference ]]="", "", IF(_xlfn.XLOOKUP(OpenPendingCases[[#This Row],[Timepiece Reference ]], Table1[[Timepiece Reference ]], Table1[CRC STOCK], "Not Found")="YES", "CRC Stock", "Boutique Stock"))</f>
        <v/>
      </c>
      <c r="L325" s="143"/>
      <c r="M325" s="141"/>
      <c r="N325" s="137"/>
      <c r="O325" s="134"/>
      <c r="P325" s="94" t="str">
        <f>IFERROR(VLOOKUP(TRIM(O325), Collection!$B$2:$D$1001, 2, FALSE), "")</f>
        <v/>
      </c>
      <c r="Q325" s="190" t="str">
        <f>IFERROR(VLOOKUP(TRIM(O325), Collection!$B$2:$D$1001, 3, FALSE), "")</f>
        <v/>
      </c>
      <c r="R325" s="153" t="str">
        <f t="shared" si="37"/>
        <v/>
      </c>
      <c r="S325" s="151"/>
      <c r="T325" s="158"/>
      <c r="U325" s="137"/>
      <c r="V325" s="137"/>
      <c r="W325" s="156" t="str">
        <f t="shared" si="41"/>
        <v/>
      </c>
      <c r="X325" s="157"/>
      <c r="Y325" s="158"/>
      <c r="Z325" s="158"/>
      <c r="AA325" s="137" t="str">
        <f t="shared" ca="1" si="42"/>
        <v/>
      </c>
      <c r="AB325" s="137" t="str">
        <f t="shared" ca="1" si="38"/>
        <v/>
      </c>
      <c r="AC325" s="160" t="str">
        <f t="shared" ca="1" si="39"/>
        <v/>
      </c>
      <c r="AD325" s="159" t="str">
        <f t="shared" ca="1" si="40"/>
        <v/>
      </c>
      <c r="AE325" s="161"/>
      <c r="AF325" s="161"/>
      <c r="AG325" s="161"/>
      <c r="AH325" s="137"/>
      <c r="AI325" s="164" t="str">
        <f t="shared" si="36"/>
        <v/>
      </c>
      <c r="AJ325" s="164" t="str">
        <f>IF(AND(OpenPendingCases[[#This Row],[Sale Status	]]="Open Sale",OpenPendingCases[[#This Row],[Potential Same Month]]="High"),TEXT(OpenPendingCases[[#This Row],[Request Entry Date]], "[$-en-us]mmmm"),"")</f>
        <v/>
      </c>
      <c r="AK325" s="165" t="str">
        <f>IFERROR(VALUE(SUBSTITUTE(OpenPendingCases[[#This Row],[Price]]," AED","")),"")</f>
        <v/>
      </c>
      <c r="AL325" s="165" t="str">
        <f>IFERROR(VALUE(LEFT(OpenPendingCases[[#This Row],[Price]],FIND(" ",OpenPendingCases[[#This Row],[Price]])-1)),"")</f>
        <v/>
      </c>
      <c r="AM325" s="165" t="str">
        <f>IFERROR(VALUE(_xlfn.TEXTBEFORE(OpenPendingCases[[#This Row],[Price]]," AED")),"")</f>
        <v/>
      </c>
      <c r="AN325" s="165"/>
    </row>
    <row r="326" spans="3:40" ht="18" hidden="1" x14ac:dyDescent="0.35">
      <c r="C326" s="134"/>
      <c r="D326" s="137" t="str">
        <f>IF($U326="Open Sale", IF(MAX($D$4:D325)+1=0, "", MAX($D$4:D325)+1), "")</f>
        <v/>
      </c>
      <c r="E326" s="137" t="str">
        <f>IF($U326="Pending Allocation", IF(MAX($E$4:E325)+1=0, "", MAX($E$4:E325)+1), "")</f>
        <v/>
      </c>
      <c r="F326" s="137"/>
      <c r="G326" s="137"/>
      <c r="H326" s="150"/>
      <c r="I326" s="150"/>
      <c r="J326" s="68" t="str">
        <f>IF(OpenPendingCases[[#This Row],[Timepiece Reference ]]="", "", IF(_xlfn.XLOOKUP(OpenPendingCases[[#This Row],[Timepiece Reference ]], Table1[[Timepiece Reference ]], Table1[CRC STOCK], "Not Found")="YES", "CRC Stock", "Boutique Stock"))</f>
        <v/>
      </c>
      <c r="K326" s="137" t="str">
        <f>IF(OpenPendingCases[[#This Row],[Timepiece Reference ]]="", "", IF(_xlfn.XLOOKUP(OpenPendingCases[[#This Row],[Timepiece Reference ]], Table1[[Timepiece Reference ]], Table1[CRC STOCK], "Not Found")="YES", "CRC Stock", "Boutique Stock"))</f>
        <v/>
      </c>
      <c r="L326" s="143"/>
      <c r="M326" s="141"/>
      <c r="N326" s="137"/>
      <c r="O326" s="134"/>
      <c r="P326" s="94" t="str">
        <f>IFERROR(VLOOKUP(TRIM(O326), Collection!$B$2:$D$1001, 2, FALSE), "")</f>
        <v/>
      </c>
      <c r="Q326" s="190" t="str">
        <f>IFERROR(VLOOKUP(TRIM(O326), Collection!$B$2:$D$1001, 3, FALSE), "")</f>
        <v/>
      </c>
      <c r="R326" s="153" t="str">
        <f t="shared" si="37"/>
        <v/>
      </c>
      <c r="S326" s="151"/>
      <c r="T326" s="158"/>
      <c r="U326" s="137"/>
      <c r="V326" s="137"/>
      <c r="W326" s="156" t="str">
        <f t="shared" si="41"/>
        <v/>
      </c>
      <c r="X326" s="157"/>
      <c r="Y326" s="158"/>
      <c r="Z326" s="158"/>
      <c r="AA326" s="137" t="str">
        <f t="shared" ca="1" si="42"/>
        <v/>
      </c>
      <c r="AB326" s="137" t="str">
        <f t="shared" ca="1" si="38"/>
        <v/>
      </c>
      <c r="AC326" s="160" t="str">
        <f t="shared" ca="1" si="39"/>
        <v/>
      </c>
      <c r="AD326" s="159" t="str">
        <f t="shared" ca="1" si="40"/>
        <v/>
      </c>
      <c r="AE326" s="161"/>
      <c r="AF326" s="161"/>
      <c r="AG326" s="161"/>
      <c r="AH326" s="137"/>
      <c r="AI326" s="164" t="str">
        <f t="shared" si="36"/>
        <v/>
      </c>
      <c r="AJ326" s="164" t="str">
        <f>IF(AND(OpenPendingCases[[#This Row],[Sale Status	]]="Open Sale",OpenPendingCases[[#This Row],[Potential Same Month]]="High"),TEXT(OpenPendingCases[[#This Row],[Request Entry Date]], "[$-en-us]mmmm"),"")</f>
        <v/>
      </c>
      <c r="AK326" s="165" t="str">
        <f>IFERROR(VALUE(SUBSTITUTE(OpenPendingCases[[#This Row],[Price]]," AED","")),"")</f>
        <v/>
      </c>
      <c r="AL326" s="165" t="str">
        <f>IFERROR(VALUE(LEFT(OpenPendingCases[[#This Row],[Price]],FIND(" ",OpenPendingCases[[#This Row],[Price]])-1)),"")</f>
        <v/>
      </c>
      <c r="AM326" s="165" t="str">
        <f>IFERROR(VALUE(_xlfn.TEXTBEFORE(OpenPendingCases[[#This Row],[Price]]," AED")),"")</f>
        <v/>
      </c>
      <c r="AN326" s="165"/>
    </row>
    <row r="327" spans="3:40" ht="18" hidden="1" x14ac:dyDescent="0.35">
      <c r="C327" s="134"/>
      <c r="D327" s="137" t="str">
        <f>IF($U327="Open Sale", IF(MAX($D$4:D326)+1=0, "", MAX($D$4:D326)+1), "")</f>
        <v/>
      </c>
      <c r="E327" s="137" t="str">
        <f>IF($U327="Pending Allocation", IF(MAX($E$4:E326)+1=0, "", MAX($E$4:E326)+1), "")</f>
        <v/>
      </c>
      <c r="F327" s="137"/>
      <c r="G327" s="137"/>
      <c r="H327" s="150"/>
      <c r="I327" s="150"/>
      <c r="J327" s="68" t="str">
        <f>IF(OpenPendingCases[[#This Row],[Timepiece Reference ]]="", "", IF(_xlfn.XLOOKUP(OpenPendingCases[[#This Row],[Timepiece Reference ]], Table1[[Timepiece Reference ]], Table1[CRC STOCK], "Not Found")="YES", "CRC Stock", "Boutique Stock"))</f>
        <v/>
      </c>
      <c r="K327" s="137" t="str">
        <f>IF(OpenPendingCases[[#This Row],[Timepiece Reference ]]="", "", IF(_xlfn.XLOOKUP(OpenPendingCases[[#This Row],[Timepiece Reference ]], Table1[[Timepiece Reference ]], Table1[CRC STOCK], "Not Found")="YES", "CRC Stock", "Boutique Stock"))</f>
        <v/>
      </c>
      <c r="L327" s="143"/>
      <c r="M327" s="141"/>
      <c r="N327" s="137"/>
      <c r="O327" s="134"/>
      <c r="P327" s="94" t="str">
        <f>IFERROR(VLOOKUP(TRIM(O327), Collection!$B$2:$D$1001, 2, FALSE), "")</f>
        <v/>
      </c>
      <c r="Q327" s="190" t="str">
        <f>IFERROR(VLOOKUP(TRIM(O327), Collection!$B$2:$D$1001, 3, FALSE), "")</f>
        <v/>
      </c>
      <c r="R327" s="153" t="str">
        <f t="shared" si="37"/>
        <v/>
      </c>
      <c r="S327" s="151"/>
      <c r="T327" s="158"/>
      <c r="U327" s="137"/>
      <c r="V327" s="137"/>
      <c r="W327" s="156" t="str">
        <f t="shared" si="41"/>
        <v/>
      </c>
      <c r="X327" s="157"/>
      <c r="Y327" s="158"/>
      <c r="Z327" s="158"/>
      <c r="AA327" s="137" t="str">
        <f t="shared" ca="1" si="42"/>
        <v/>
      </c>
      <c r="AB327" s="137" t="str">
        <f t="shared" ca="1" si="38"/>
        <v/>
      </c>
      <c r="AC327" s="160" t="str">
        <f t="shared" ca="1" si="39"/>
        <v/>
      </c>
      <c r="AD327" s="159" t="str">
        <f t="shared" ca="1" si="40"/>
        <v/>
      </c>
      <c r="AE327" s="161"/>
      <c r="AF327" s="161"/>
      <c r="AG327" s="161"/>
      <c r="AH327" s="137"/>
      <c r="AI327" s="164" t="str">
        <f t="shared" si="36"/>
        <v/>
      </c>
      <c r="AJ327" s="164" t="str">
        <f>IF(AND(OpenPendingCases[[#This Row],[Sale Status	]]="Open Sale",OpenPendingCases[[#This Row],[Potential Same Month]]="High"),TEXT(OpenPendingCases[[#This Row],[Request Entry Date]], "[$-en-us]mmmm"),"")</f>
        <v/>
      </c>
      <c r="AK327" s="165" t="str">
        <f>IFERROR(VALUE(SUBSTITUTE(OpenPendingCases[[#This Row],[Price]]," AED","")),"")</f>
        <v/>
      </c>
      <c r="AL327" s="165" t="str">
        <f>IFERROR(VALUE(LEFT(OpenPendingCases[[#This Row],[Price]],FIND(" ",OpenPendingCases[[#This Row],[Price]])-1)),"")</f>
        <v/>
      </c>
      <c r="AM327" s="165" t="str">
        <f>IFERROR(VALUE(_xlfn.TEXTBEFORE(OpenPendingCases[[#This Row],[Price]]," AED")),"")</f>
        <v/>
      </c>
      <c r="AN327" s="165"/>
    </row>
    <row r="328" spans="3:40" ht="18" hidden="1" x14ac:dyDescent="0.35">
      <c r="C328" s="134"/>
      <c r="D328" s="137" t="str">
        <f>IF($U328="Open Sale", IF(MAX($D$4:D327)+1=0, "", MAX($D$4:D327)+1), "")</f>
        <v/>
      </c>
      <c r="E328" s="137" t="str">
        <f>IF($U328="Pending Allocation", IF(MAX($E$4:E327)+1=0, "", MAX($E$4:E327)+1), "")</f>
        <v/>
      </c>
      <c r="F328" s="137"/>
      <c r="G328" s="137"/>
      <c r="H328" s="150"/>
      <c r="I328" s="150"/>
      <c r="J328" s="68" t="str">
        <f>IF(OpenPendingCases[[#This Row],[Timepiece Reference ]]="", "", IF(_xlfn.XLOOKUP(OpenPendingCases[[#This Row],[Timepiece Reference ]], Table1[[Timepiece Reference ]], Table1[CRC STOCK], "Not Found")="YES", "CRC Stock", "Boutique Stock"))</f>
        <v/>
      </c>
      <c r="K328" s="137" t="str">
        <f>IF(OpenPendingCases[[#This Row],[Timepiece Reference ]]="", "", IF(_xlfn.XLOOKUP(OpenPendingCases[[#This Row],[Timepiece Reference ]], Table1[[Timepiece Reference ]], Table1[CRC STOCK], "Not Found")="YES", "CRC Stock", "Boutique Stock"))</f>
        <v/>
      </c>
      <c r="L328" s="143"/>
      <c r="M328" s="141"/>
      <c r="N328" s="137"/>
      <c r="O328" s="134"/>
      <c r="P328" s="94" t="str">
        <f>IFERROR(VLOOKUP(TRIM(O328), Collection!$B$2:$D$1001, 2, FALSE), "")</f>
        <v/>
      </c>
      <c r="Q328" s="190" t="str">
        <f>IFERROR(VLOOKUP(TRIM(O328), Collection!$B$2:$D$1001, 3, FALSE), "")</f>
        <v/>
      </c>
      <c r="R328" s="153" t="str">
        <f t="shared" si="37"/>
        <v/>
      </c>
      <c r="S328" s="151"/>
      <c r="T328" s="158"/>
      <c r="U328" s="137"/>
      <c r="V328" s="137"/>
      <c r="W328" s="156" t="str">
        <f t="shared" si="41"/>
        <v/>
      </c>
      <c r="X328" s="157"/>
      <c r="Y328" s="158"/>
      <c r="Z328" s="158"/>
      <c r="AA328" s="137" t="str">
        <f t="shared" ca="1" si="42"/>
        <v/>
      </c>
      <c r="AB328" s="137" t="str">
        <f t="shared" ca="1" si="38"/>
        <v/>
      </c>
      <c r="AC328" s="160" t="str">
        <f t="shared" ca="1" si="39"/>
        <v/>
      </c>
      <c r="AD328" s="159" t="str">
        <f t="shared" ca="1" si="40"/>
        <v/>
      </c>
      <c r="AE328" s="161"/>
      <c r="AF328" s="161"/>
      <c r="AG328" s="161"/>
      <c r="AH328" s="137"/>
      <c r="AI328" s="164" t="str">
        <f t="shared" si="36"/>
        <v/>
      </c>
      <c r="AJ328" s="164" t="str">
        <f>IF(AND(OpenPendingCases[[#This Row],[Sale Status	]]="Open Sale",OpenPendingCases[[#This Row],[Potential Same Month]]="High"),TEXT(OpenPendingCases[[#This Row],[Request Entry Date]], "[$-en-us]mmmm"),"")</f>
        <v/>
      </c>
      <c r="AK328" s="165" t="str">
        <f>IFERROR(VALUE(SUBSTITUTE(OpenPendingCases[[#This Row],[Price]]," AED","")),"")</f>
        <v/>
      </c>
      <c r="AL328" s="165" t="str">
        <f>IFERROR(VALUE(LEFT(OpenPendingCases[[#This Row],[Price]],FIND(" ",OpenPendingCases[[#This Row],[Price]])-1)),"")</f>
        <v/>
      </c>
      <c r="AM328" s="165" t="str">
        <f>IFERROR(VALUE(_xlfn.TEXTBEFORE(OpenPendingCases[[#This Row],[Price]]," AED")),"")</f>
        <v/>
      </c>
      <c r="AN328" s="165"/>
    </row>
    <row r="329" spans="3:40" ht="18" hidden="1" x14ac:dyDescent="0.35">
      <c r="C329" s="134"/>
      <c r="D329" s="137" t="str">
        <f>IF($U329="Open Sale", IF(MAX($D$4:D328)+1=0, "", MAX($D$4:D328)+1), "")</f>
        <v/>
      </c>
      <c r="E329" s="137" t="str">
        <f>IF($U329="Pending Allocation", IF(MAX($E$4:E328)+1=0, "", MAX($E$4:E328)+1), "")</f>
        <v/>
      </c>
      <c r="F329" s="137"/>
      <c r="G329" s="137"/>
      <c r="H329" s="150"/>
      <c r="I329" s="150"/>
      <c r="J329" s="68" t="str">
        <f>IF(OpenPendingCases[[#This Row],[Timepiece Reference ]]="", "", IF(_xlfn.XLOOKUP(OpenPendingCases[[#This Row],[Timepiece Reference ]], Table1[[Timepiece Reference ]], Table1[CRC STOCK], "Not Found")="YES", "CRC Stock", "Boutique Stock"))</f>
        <v/>
      </c>
      <c r="K329" s="137" t="str">
        <f>IF(OpenPendingCases[[#This Row],[Timepiece Reference ]]="", "", IF(_xlfn.XLOOKUP(OpenPendingCases[[#This Row],[Timepiece Reference ]], Table1[[Timepiece Reference ]], Table1[CRC STOCK], "Not Found")="YES", "CRC Stock", "Boutique Stock"))</f>
        <v/>
      </c>
      <c r="L329" s="143"/>
      <c r="M329" s="141"/>
      <c r="N329" s="137"/>
      <c r="O329" s="134"/>
      <c r="P329" s="94" t="str">
        <f>IFERROR(VLOOKUP(TRIM(O329), Collection!$B$2:$D$1001, 2, FALSE), "")</f>
        <v/>
      </c>
      <c r="Q329" s="190" t="str">
        <f>IFERROR(VLOOKUP(TRIM(O329), Collection!$B$2:$D$1001, 3, FALSE), "")</f>
        <v/>
      </c>
      <c r="R329" s="153" t="str">
        <f t="shared" si="37"/>
        <v/>
      </c>
      <c r="S329" s="151"/>
      <c r="T329" s="158"/>
      <c r="U329" s="137"/>
      <c r="V329" s="137"/>
      <c r="W329" s="156" t="str">
        <f t="shared" si="41"/>
        <v/>
      </c>
      <c r="X329" s="157"/>
      <c r="Y329" s="158"/>
      <c r="Z329" s="158"/>
      <c r="AA329" s="137" t="str">
        <f t="shared" ca="1" si="42"/>
        <v/>
      </c>
      <c r="AB329" s="137" t="str">
        <f t="shared" ca="1" si="38"/>
        <v/>
      </c>
      <c r="AC329" s="160" t="str">
        <f t="shared" ca="1" si="39"/>
        <v/>
      </c>
      <c r="AD329" s="159" t="str">
        <f t="shared" ca="1" si="40"/>
        <v/>
      </c>
      <c r="AE329" s="161"/>
      <c r="AF329" s="161"/>
      <c r="AG329" s="161"/>
      <c r="AH329" s="137"/>
      <c r="AI329" s="164" t="str">
        <f t="shared" si="36"/>
        <v/>
      </c>
      <c r="AJ329" s="164" t="str">
        <f>IF(AND(OpenPendingCases[[#This Row],[Sale Status	]]="Open Sale",OpenPendingCases[[#This Row],[Potential Same Month]]="High"),TEXT(OpenPendingCases[[#This Row],[Request Entry Date]], "[$-en-us]mmmm"),"")</f>
        <v/>
      </c>
      <c r="AK329" s="165" t="str">
        <f>IFERROR(VALUE(SUBSTITUTE(OpenPendingCases[[#This Row],[Price]]," AED","")),"")</f>
        <v/>
      </c>
      <c r="AL329" s="165" t="str">
        <f>IFERROR(VALUE(LEFT(OpenPendingCases[[#This Row],[Price]],FIND(" ",OpenPendingCases[[#This Row],[Price]])-1)),"")</f>
        <v/>
      </c>
      <c r="AM329" s="165" t="str">
        <f>IFERROR(VALUE(_xlfn.TEXTBEFORE(OpenPendingCases[[#This Row],[Price]]," AED")),"")</f>
        <v/>
      </c>
      <c r="AN329" s="165"/>
    </row>
    <row r="330" spans="3:40" ht="18" hidden="1" x14ac:dyDescent="0.35">
      <c r="C330" s="134"/>
      <c r="D330" s="137" t="str">
        <f>IF($U330="Open Sale", IF(MAX($D$4:D329)+1=0, "", MAX($D$4:D329)+1), "")</f>
        <v/>
      </c>
      <c r="E330" s="137" t="str">
        <f>IF($U330="Pending Allocation", IF(MAX($E$4:E329)+1=0, "", MAX($E$4:E329)+1), "")</f>
        <v/>
      </c>
      <c r="F330" s="137"/>
      <c r="G330" s="137"/>
      <c r="H330" s="150"/>
      <c r="I330" s="150"/>
      <c r="J330" s="68" t="str">
        <f>IF(OpenPendingCases[[#This Row],[Timepiece Reference ]]="", "", IF(_xlfn.XLOOKUP(OpenPendingCases[[#This Row],[Timepiece Reference ]], Table1[[Timepiece Reference ]], Table1[CRC STOCK], "Not Found")="YES", "CRC Stock", "Boutique Stock"))</f>
        <v/>
      </c>
      <c r="K330" s="137" t="str">
        <f>IF(OpenPendingCases[[#This Row],[Timepiece Reference ]]="", "", IF(_xlfn.XLOOKUP(OpenPendingCases[[#This Row],[Timepiece Reference ]], Table1[[Timepiece Reference ]], Table1[CRC STOCK], "Not Found")="YES", "CRC Stock", "Boutique Stock"))</f>
        <v/>
      </c>
      <c r="L330" s="143"/>
      <c r="M330" s="141"/>
      <c r="N330" s="137"/>
      <c r="O330" s="134"/>
      <c r="P330" s="94" t="str">
        <f>IFERROR(VLOOKUP(TRIM(O330), Collection!$B$2:$D$1001, 2, FALSE), "")</f>
        <v/>
      </c>
      <c r="Q330" s="190" t="str">
        <f>IFERROR(VLOOKUP(TRIM(O330), Collection!$B$2:$D$1001, 3, FALSE), "")</f>
        <v/>
      </c>
      <c r="R330" s="153" t="str">
        <f t="shared" si="37"/>
        <v/>
      </c>
      <c r="S330" s="151"/>
      <c r="T330" s="158"/>
      <c r="U330" s="137"/>
      <c r="V330" s="137"/>
      <c r="W330" s="156" t="str">
        <f t="shared" si="41"/>
        <v/>
      </c>
      <c r="X330" s="157"/>
      <c r="Y330" s="158"/>
      <c r="Z330" s="158"/>
      <c r="AA330" s="137" t="str">
        <f t="shared" ca="1" si="42"/>
        <v/>
      </c>
      <c r="AB330" s="137" t="str">
        <f t="shared" ca="1" si="38"/>
        <v/>
      </c>
      <c r="AC330" s="160" t="str">
        <f t="shared" ca="1" si="39"/>
        <v/>
      </c>
      <c r="AD330" s="159" t="str">
        <f t="shared" ca="1" si="40"/>
        <v/>
      </c>
      <c r="AE330" s="161"/>
      <c r="AF330" s="161"/>
      <c r="AG330" s="161"/>
      <c r="AH330" s="137"/>
      <c r="AI330" s="164" t="str">
        <f t="shared" si="36"/>
        <v/>
      </c>
      <c r="AJ330" s="164" t="str">
        <f>IF(AND(OpenPendingCases[[#This Row],[Sale Status	]]="Open Sale",OpenPendingCases[[#This Row],[Potential Same Month]]="High"),TEXT(OpenPendingCases[[#This Row],[Request Entry Date]], "[$-en-us]mmmm"),"")</f>
        <v/>
      </c>
      <c r="AK330" s="165" t="str">
        <f>IFERROR(VALUE(SUBSTITUTE(OpenPendingCases[[#This Row],[Price]]," AED","")),"")</f>
        <v/>
      </c>
      <c r="AL330" s="165" t="str">
        <f>IFERROR(VALUE(LEFT(OpenPendingCases[[#This Row],[Price]],FIND(" ",OpenPendingCases[[#This Row],[Price]])-1)),"")</f>
        <v/>
      </c>
      <c r="AM330" s="165" t="str">
        <f>IFERROR(VALUE(_xlfn.TEXTBEFORE(OpenPendingCases[[#This Row],[Price]]," AED")),"")</f>
        <v/>
      </c>
      <c r="AN330" s="165"/>
    </row>
    <row r="331" spans="3:40" ht="18" hidden="1" x14ac:dyDescent="0.35">
      <c r="C331" s="134"/>
      <c r="D331" s="137" t="str">
        <f>IF($U331="Open Sale", IF(MAX($D$4:D330)+1=0, "", MAX($D$4:D330)+1), "")</f>
        <v/>
      </c>
      <c r="E331" s="137" t="str">
        <f>IF($U331="Pending Allocation", IF(MAX($E$4:E330)+1=0, "", MAX($E$4:E330)+1), "")</f>
        <v/>
      </c>
      <c r="F331" s="137"/>
      <c r="G331" s="137"/>
      <c r="H331" s="150"/>
      <c r="I331" s="150"/>
      <c r="J331" s="68" t="str">
        <f>IF(OpenPendingCases[[#This Row],[Timepiece Reference ]]="", "", IF(_xlfn.XLOOKUP(OpenPendingCases[[#This Row],[Timepiece Reference ]], Table1[[Timepiece Reference ]], Table1[CRC STOCK], "Not Found")="YES", "CRC Stock", "Boutique Stock"))</f>
        <v/>
      </c>
      <c r="K331" s="137" t="str">
        <f>IF(OpenPendingCases[[#This Row],[Timepiece Reference ]]="", "", IF(_xlfn.XLOOKUP(OpenPendingCases[[#This Row],[Timepiece Reference ]], Table1[[Timepiece Reference ]], Table1[CRC STOCK], "Not Found")="YES", "CRC Stock", "Boutique Stock"))</f>
        <v/>
      </c>
      <c r="L331" s="143"/>
      <c r="M331" s="141"/>
      <c r="N331" s="137"/>
      <c r="O331" s="134"/>
      <c r="P331" s="94" t="str">
        <f>IFERROR(VLOOKUP(TRIM(O331), Collection!$B$2:$D$1001, 2, FALSE), "")</f>
        <v/>
      </c>
      <c r="Q331" s="190" t="str">
        <f>IFERROR(VLOOKUP(TRIM(O331), Collection!$B$2:$D$1001, 3, FALSE), "")</f>
        <v/>
      </c>
      <c r="R331" s="153" t="str">
        <f t="shared" si="37"/>
        <v/>
      </c>
      <c r="S331" s="151"/>
      <c r="T331" s="158"/>
      <c r="U331" s="137"/>
      <c r="V331" s="137"/>
      <c r="W331" s="156" t="str">
        <f t="shared" si="41"/>
        <v/>
      </c>
      <c r="X331" s="157"/>
      <c r="Y331" s="158"/>
      <c r="Z331" s="158"/>
      <c r="AA331" s="137" t="str">
        <f t="shared" ca="1" si="42"/>
        <v/>
      </c>
      <c r="AB331" s="137" t="str">
        <f t="shared" ca="1" si="38"/>
        <v/>
      </c>
      <c r="AC331" s="160" t="str">
        <f t="shared" ca="1" si="39"/>
        <v/>
      </c>
      <c r="AD331" s="159" t="str">
        <f t="shared" ca="1" si="40"/>
        <v/>
      </c>
      <c r="AE331" s="161"/>
      <c r="AF331" s="161"/>
      <c r="AG331" s="161"/>
      <c r="AH331" s="137"/>
      <c r="AI331" s="164" t="str">
        <f t="shared" si="36"/>
        <v/>
      </c>
      <c r="AJ331" s="164" t="str">
        <f>IF(AND(OpenPendingCases[[#This Row],[Sale Status	]]="Open Sale",OpenPendingCases[[#This Row],[Potential Same Month]]="High"),TEXT(OpenPendingCases[[#This Row],[Request Entry Date]], "[$-en-us]mmmm"),"")</f>
        <v/>
      </c>
      <c r="AK331" s="165" t="str">
        <f>IFERROR(VALUE(SUBSTITUTE(OpenPendingCases[[#This Row],[Price]]," AED","")),"")</f>
        <v/>
      </c>
      <c r="AL331" s="165" t="str">
        <f>IFERROR(VALUE(LEFT(OpenPendingCases[[#This Row],[Price]],FIND(" ",OpenPendingCases[[#This Row],[Price]])-1)),"")</f>
        <v/>
      </c>
      <c r="AM331" s="165" t="str">
        <f>IFERROR(VALUE(_xlfn.TEXTBEFORE(OpenPendingCases[[#This Row],[Price]]," AED")),"")</f>
        <v/>
      </c>
      <c r="AN331" s="165"/>
    </row>
    <row r="332" spans="3:40" ht="18" hidden="1" x14ac:dyDescent="0.35">
      <c r="C332" s="134"/>
      <c r="D332" s="137" t="str">
        <f>IF($U332="Open Sale", IF(MAX($D$4:D331)+1=0, "", MAX($D$4:D331)+1), "")</f>
        <v/>
      </c>
      <c r="E332" s="137" t="str">
        <f>IF($U332="Pending Allocation", IF(MAX($E$4:E331)+1=0, "", MAX($E$4:E331)+1), "")</f>
        <v/>
      </c>
      <c r="F332" s="137"/>
      <c r="G332" s="137"/>
      <c r="H332" s="150"/>
      <c r="I332" s="150"/>
      <c r="J332" s="68" t="str">
        <f>IF(OpenPendingCases[[#This Row],[Timepiece Reference ]]="", "", IF(_xlfn.XLOOKUP(OpenPendingCases[[#This Row],[Timepiece Reference ]], Table1[[Timepiece Reference ]], Table1[CRC STOCK], "Not Found")="YES", "CRC Stock", "Boutique Stock"))</f>
        <v/>
      </c>
      <c r="K332" s="137" t="str">
        <f>IF(OpenPendingCases[[#This Row],[Timepiece Reference ]]="", "", IF(_xlfn.XLOOKUP(OpenPendingCases[[#This Row],[Timepiece Reference ]], Table1[[Timepiece Reference ]], Table1[CRC STOCK], "Not Found")="YES", "CRC Stock", "Boutique Stock"))</f>
        <v/>
      </c>
      <c r="L332" s="143"/>
      <c r="M332" s="141"/>
      <c r="N332" s="137"/>
      <c r="O332" s="134"/>
      <c r="P332" s="94" t="str">
        <f>IFERROR(VLOOKUP(TRIM(O332), Collection!$B$2:$D$1001, 2, FALSE), "")</f>
        <v/>
      </c>
      <c r="Q332" s="190" t="str">
        <f>IFERROR(VLOOKUP(TRIM(O332), Collection!$B$2:$D$1001, 3, FALSE), "")</f>
        <v/>
      </c>
      <c r="R332" s="153" t="str">
        <f t="shared" si="37"/>
        <v/>
      </c>
      <c r="S332" s="151"/>
      <c r="T332" s="158"/>
      <c r="U332" s="137"/>
      <c r="V332" s="137"/>
      <c r="W332" s="156" t="str">
        <f t="shared" si="41"/>
        <v/>
      </c>
      <c r="X332" s="157"/>
      <c r="Y332" s="158"/>
      <c r="Z332" s="158"/>
      <c r="AA332" s="137" t="str">
        <f t="shared" ca="1" si="42"/>
        <v/>
      </c>
      <c r="AB332" s="137" t="str">
        <f t="shared" ca="1" si="38"/>
        <v/>
      </c>
      <c r="AC332" s="160" t="str">
        <f t="shared" ca="1" si="39"/>
        <v/>
      </c>
      <c r="AD332" s="159" t="str">
        <f t="shared" ca="1" si="40"/>
        <v/>
      </c>
      <c r="AE332" s="161"/>
      <c r="AF332" s="161"/>
      <c r="AG332" s="161"/>
      <c r="AH332" s="137"/>
      <c r="AI332" s="164" t="str">
        <f t="shared" si="36"/>
        <v/>
      </c>
      <c r="AJ332" s="164" t="str">
        <f>IF(AND(OpenPendingCases[[#This Row],[Sale Status	]]="Open Sale",OpenPendingCases[[#This Row],[Potential Same Month]]="High"),TEXT(OpenPendingCases[[#This Row],[Request Entry Date]], "[$-en-us]mmmm"),"")</f>
        <v/>
      </c>
      <c r="AK332" s="165" t="str">
        <f>IFERROR(VALUE(SUBSTITUTE(OpenPendingCases[[#This Row],[Price]]," AED","")),"")</f>
        <v/>
      </c>
      <c r="AL332" s="165" t="str">
        <f>IFERROR(VALUE(LEFT(OpenPendingCases[[#This Row],[Price]],FIND(" ",OpenPendingCases[[#This Row],[Price]])-1)),"")</f>
        <v/>
      </c>
      <c r="AM332" s="165" t="str">
        <f>IFERROR(VALUE(_xlfn.TEXTBEFORE(OpenPendingCases[[#This Row],[Price]]," AED")),"")</f>
        <v/>
      </c>
      <c r="AN332" s="165"/>
    </row>
    <row r="333" spans="3:40" ht="18" hidden="1" x14ac:dyDescent="0.35">
      <c r="C333" s="134"/>
      <c r="D333" s="137" t="str">
        <f>IF($U333="Open Sale", IF(MAX($D$4:D332)+1=0, "", MAX($D$4:D332)+1), "")</f>
        <v/>
      </c>
      <c r="E333" s="137" t="str">
        <f>IF($U333="Pending Allocation", IF(MAX($E$4:E332)+1=0, "", MAX($E$4:E332)+1), "")</f>
        <v/>
      </c>
      <c r="F333" s="137"/>
      <c r="G333" s="137"/>
      <c r="H333" s="150"/>
      <c r="I333" s="150"/>
      <c r="J333" s="68" t="str">
        <f>IF(OpenPendingCases[[#This Row],[Timepiece Reference ]]="", "", IF(_xlfn.XLOOKUP(OpenPendingCases[[#This Row],[Timepiece Reference ]], Table1[[Timepiece Reference ]], Table1[CRC STOCK], "Not Found")="YES", "CRC Stock", "Boutique Stock"))</f>
        <v/>
      </c>
      <c r="K333" s="137" t="str">
        <f>IF(OpenPendingCases[[#This Row],[Timepiece Reference ]]="", "", IF(_xlfn.XLOOKUP(OpenPendingCases[[#This Row],[Timepiece Reference ]], Table1[[Timepiece Reference ]], Table1[CRC STOCK], "Not Found")="YES", "CRC Stock", "Boutique Stock"))</f>
        <v/>
      </c>
      <c r="L333" s="143"/>
      <c r="M333" s="141"/>
      <c r="N333" s="137"/>
      <c r="O333" s="134"/>
      <c r="P333" s="94" t="str">
        <f>IFERROR(VLOOKUP(TRIM(O333), Collection!$B$2:$D$1001, 2, FALSE), "")</f>
        <v/>
      </c>
      <c r="Q333" s="190" t="str">
        <f>IFERROR(VLOOKUP(TRIM(O333), Collection!$B$2:$D$1001, 3, FALSE), "")</f>
        <v/>
      </c>
      <c r="R333" s="153" t="str">
        <f t="shared" si="37"/>
        <v/>
      </c>
      <c r="S333" s="151"/>
      <c r="T333" s="158"/>
      <c r="U333" s="137"/>
      <c r="V333" s="137"/>
      <c r="W333" s="156" t="str">
        <f t="shared" si="41"/>
        <v/>
      </c>
      <c r="X333" s="157"/>
      <c r="Y333" s="158"/>
      <c r="Z333" s="158"/>
      <c r="AA333" s="137" t="str">
        <f t="shared" ca="1" si="42"/>
        <v/>
      </c>
      <c r="AB333" s="137" t="str">
        <f t="shared" ca="1" si="38"/>
        <v/>
      </c>
      <c r="AC333" s="160" t="str">
        <f t="shared" ca="1" si="39"/>
        <v/>
      </c>
      <c r="AD333" s="159" t="str">
        <f t="shared" ca="1" si="40"/>
        <v/>
      </c>
      <c r="AE333" s="161"/>
      <c r="AF333" s="161"/>
      <c r="AG333" s="161"/>
      <c r="AH333" s="137"/>
      <c r="AI333" s="164" t="str">
        <f t="shared" si="36"/>
        <v/>
      </c>
      <c r="AJ333" s="164" t="str">
        <f>IF(AND(OpenPendingCases[[#This Row],[Sale Status	]]="Open Sale",OpenPendingCases[[#This Row],[Potential Same Month]]="High"),TEXT(OpenPendingCases[[#This Row],[Request Entry Date]], "[$-en-us]mmmm"),"")</f>
        <v/>
      </c>
      <c r="AK333" s="165" t="str">
        <f>IFERROR(VALUE(SUBSTITUTE(OpenPendingCases[[#This Row],[Price]]," AED","")),"")</f>
        <v/>
      </c>
      <c r="AL333" s="165" t="str">
        <f>IFERROR(VALUE(LEFT(OpenPendingCases[[#This Row],[Price]],FIND(" ",OpenPendingCases[[#This Row],[Price]])-1)),"")</f>
        <v/>
      </c>
      <c r="AM333" s="165" t="str">
        <f>IFERROR(VALUE(_xlfn.TEXTBEFORE(OpenPendingCases[[#This Row],[Price]]," AED")),"")</f>
        <v/>
      </c>
      <c r="AN333" s="165"/>
    </row>
    <row r="334" spans="3:40" ht="18" hidden="1" x14ac:dyDescent="0.35">
      <c r="C334" s="134"/>
      <c r="D334" s="137" t="str">
        <f>IF($U334="Open Sale", IF(MAX($D$4:D333)+1=0, "", MAX($D$4:D333)+1), "")</f>
        <v/>
      </c>
      <c r="E334" s="137" t="str">
        <f>IF($U334="Pending Allocation", IF(MAX($E$4:E333)+1=0, "", MAX($E$4:E333)+1), "")</f>
        <v/>
      </c>
      <c r="F334" s="137"/>
      <c r="G334" s="137"/>
      <c r="H334" s="150"/>
      <c r="I334" s="150"/>
      <c r="J334" s="68" t="str">
        <f>IF(OpenPendingCases[[#This Row],[Timepiece Reference ]]="", "", IF(_xlfn.XLOOKUP(OpenPendingCases[[#This Row],[Timepiece Reference ]], Table1[[Timepiece Reference ]], Table1[CRC STOCK], "Not Found")="YES", "CRC Stock", "Boutique Stock"))</f>
        <v/>
      </c>
      <c r="K334" s="137" t="str">
        <f>IF(OpenPendingCases[[#This Row],[Timepiece Reference ]]="", "", IF(_xlfn.XLOOKUP(OpenPendingCases[[#This Row],[Timepiece Reference ]], Table1[[Timepiece Reference ]], Table1[CRC STOCK], "Not Found")="YES", "CRC Stock", "Boutique Stock"))</f>
        <v/>
      </c>
      <c r="L334" s="143"/>
      <c r="M334" s="141"/>
      <c r="N334" s="137"/>
      <c r="O334" s="134"/>
      <c r="P334" s="94" t="str">
        <f>IFERROR(VLOOKUP(TRIM(O334), Collection!$B$2:$D$1001, 2, FALSE), "")</f>
        <v/>
      </c>
      <c r="Q334" s="190" t="str">
        <f>IFERROR(VLOOKUP(TRIM(O334), Collection!$B$2:$D$1001, 3, FALSE), "")</f>
        <v/>
      </c>
      <c r="R334" s="153" t="str">
        <f t="shared" si="37"/>
        <v/>
      </c>
      <c r="S334" s="151"/>
      <c r="T334" s="158"/>
      <c r="U334" s="137"/>
      <c r="V334" s="137"/>
      <c r="W334" s="156" t="str">
        <f t="shared" si="41"/>
        <v/>
      </c>
      <c r="X334" s="157"/>
      <c r="Y334" s="158"/>
      <c r="Z334" s="158"/>
      <c r="AA334" s="137" t="str">
        <f t="shared" ca="1" si="42"/>
        <v/>
      </c>
      <c r="AB334" s="137" t="str">
        <f t="shared" ca="1" si="38"/>
        <v/>
      </c>
      <c r="AC334" s="160" t="str">
        <f t="shared" ca="1" si="39"/>
        <v/>
      </c>
      <c r="AD334" s="159" t="str">
        <f t="shared" ca="1" si="40"/>
        <v/>
      </c>
      <c r="AE334" s="161"/>
      <c r="AF334" s="161"/>
      <c r="AG334" s="161"/>
      <c r="AH334" s="137"/>
      <c r="AI334" s="164" t="str">
        <f t="shared" si="36"/>
        <v/>
      </c>
      <c r="AJ334" s="164" t="str">
        <f>IF(AND(OpenPendingCases[[#This Row],[Sale Status	]]="Open Sale",OpenPendingCases[[#This Row],[Potential Same Month]]="High"),TEXT(OpenPendingCases[[#This Row],[Request Entry Date]], "[$-en-us]mmmm"),"")</f>
        <v/>
      </c>
      <c r="AK334" s="165" t="str">
        <f>IFERROR(VALUE(SUBSTITUTE(OpenPendingCases[[#This Row],[Price]]," AED","")),"")</f>
        <v/>
      </c>
      <c r="AL334" s="165" t="str">
        <f>IFERROR(VALUE(LEFT(OpenPendingCases[[#This Row],[Price]],FIND(" ",OpenPendingCases[[#This Row],[Price]])-1)),"")</f>
        <v/>
      </c>
      <c r="AM334" s="165" t="str">
        <f>IFERROR(VALUE(_xlfn.TEXTBEFORE(OpenPendingCases[[#This Row],[Price]]," AED")),"")</f>
        <v/>
      </c>
      <c r="AN334" s="165"/>
    </row>
    <row r="335" spans="3:40" ht="18" hidden="1" x14ac:dyDescent="0.35">
      <c r="C335" s="134"/>
      <c r="D335" s="137" t="str">
        <f>IF($U335="Open Sale", IF(MAX($D$4:D334)+1=0, "", MAX($D$4:D334)+1), "")</f>
        <v/>
      </c>
      <c r="E335" s="137" t="str">
        <f>IF($U335="Pending Allocation", IF(MAX($E$4:E334)+1=0, "", MAX($E$4:E334)+1), "")</f>
        <v/>
      </c>
      <c r="F335" s="137"/>
      <c r="G335" s="137"/>
      <c r="H335" s="150"/>
      <c r="I335" s="150"/>
      <c r="J335" s="68" t="str">
        <f>IF(OpenPendingCases[[#This Row],[Timepiece Reference ]]="", "", IF(_xlfn.XLOOKUP(OpenPendingCases[[#This Row],[Timepiece Reference ]], Table1[[Timepiece Reference ]], Table1[CRC STOCK], "Not Found")="YES", "CRC Stock", "Boutique Stock"))</f>
        <v/>
      </c>
      <c r="K335" s="137" t="str">
        <f>IF(OpenPendingCases[[#This Row],[Timepiece Reference ]]="", "", IF(_xlfn.XLOOKUP(OpenPendingCases[[#This Row],[Timepiece Reference ]], Table1[[Timepiece Reference ]], Table1[CRC STOCK], "Not Found")="YES", "CRC Stock", "Boutique Stock"))</f>
        <v/>
      </c>
      <c r="L335" s="143"/>
      <c r="M335" s="141"/>
      <c r="N335" s="137"/>
      <c r="O335" s="134"/>
      <c r="P335" s="94" t="str">
        <f>IFERROR(VLOOKUP(TRIM(O335), Collection!$B$2:$D$1001, 2, FALSE), "")</f>
        <v/>
      </c>
      <c r="Q335" s="190" t="str">
        <f>IFERROR(VLOOKUP(TRIM(O335), Collection!$B$2:$D$1001, 3, FALSE), "")</f>
        <v/>
      </c>
      <c r="R335" s="153" t="str">
        <f t="shared" si="37"/>
        <v/>
      </c>
      <c r="S335" s="151"/>
      <c r="T335" s="158"/>
      <c r="U335" s="137"/>
      <c r="V335" s="137"/>
      <c r="W335" s="156" t="str">
        <f t="shared" si="41"/>
        <v/>
      </c>
      <c r="X335" s="157"/>
      <c r="Y335" s="158"/>
      <c r="Z335" s="158"/>
      <c r="AA335" s="137" t="str">
        <f t="shared" ca="1" si="42"/>
        <v/>
      </c>
      <c r="AB335" s="137" t="str">
        <f t="shared" ca="1" si="38"/>
        <v/>
      </c>
      <c r="AC335" s="160" t="str">
        <f t="shared" ca="1" si="39"/>
        <v/>
      </c>
      <c r="AD335" s="159" t="str">
        <f t="shared" ca="1" si="40"/>
        <v/>
      </c>
      <c r="AE335" s="161"/>
      <c r="AF335" s="161"/>
      <c r="AG335" s="161"/>
      <c r="AH335" s="137"/>
      <c r="AI335" s="164" t="str">
        <f t="shared" si="36"/>
        <v/>
      </c>
      <c r="AJ335" s="164" t="str">
        <f>IF(AND(OpenPendingCases[[#This Row],[Sale Status	]]="Open Sale",OpenPendingCases[[#This Row],[Potential Same Month]]="High"),TEXT(OpenPendingCases[[#This Row],[Request Entry Date]], "[$-en-us]mmmm"),"")</f>
        <v/>
      </c>
      <c r="AK335" s="165" t="str">
        <f>IFERROR(VALUE(SUBSTITUTE(OpenPendingCases[[#This Row],[Price]]," AED","")),"")</f>
        <v/>
      </c>
      <c r="AL335" s="165" t="str">
        <f>IFERROR(VALUE(LEFT(OpenPendingCases[[#This Row],[Price]],FIND(" ",OpenPendingCases[[#This Row],[Price]])-1)),"")</f>
        <v/>
      </c>
      <c r="AM335" s="165" t="str">
        <f>IFERROR(VALUE(_xlfn.TEXTBEFORE(OpenPendingCases[[#This Row],[Price]]," AED")),"")</f>
        <v/>
      </c>
      <c r="AN335" s="165"/>
    </row>
    <row r="336" spans="3:40" ht="18" hidden="1" x14ac:dyDescent="0.35">
      <c r="C336" s="134"/>
      <c r="D336" s="137" t="str">
        <f>IF($U336="Open Sale", IF(MAX($D$4:D335)+1=0, "", MAX($D$4:D335)+1), "")</f>
        <v/>
      </c>
      <c r="E336" s="137" t="str">
        <f>IF($U336="Pending Allocation", IF(MAX($E$4:E335)+1=0, "", MAX($E$4:E335)+1), "")</f>
        <v/>
      </c>
      <c r="F336" s="137"/>
      <c r="G336" s="137"/>
      <c r="H336" s="150"/>
      <c r="I336" s="150"/>
      <c r="J336" s="68" t="str">
        <f>IF(OpenPendingCases[[#This Row],[Timepiece Reference ]]="", "", IF(_xlfn.XLOOKUP(OpenPendingCases[[#This Row],[Timepiece Reference ]], Table1[[Timepiece Reference ]], Table1[CRC STOCK], "Not Found")="YES", "CRC Stock", "Boutique Stock"))</f>
        <v/>
      </c>
      <c r="K336" s="137" t="str">
        <f>IF(OpenPendingCases[[#This Row],[Timepiece Reference ]]="", "", IF(_xlfn.XLOOKUP(OpenPendingCases[[#This Row],[Timepiece Reference ]], Table1[[Timepiece Reference ]], Table1[CRC STOCK], "Not Found")="YES", "CRC Stock", "Boutique Stock"))</f>
        <v/>
      </c>
      <c r="L336" s="143"/>
      <c r="M336" s="141"/>
      <c r="N336" s="137"/>
      <c r="O336" s="134"/>
      <c r="P336" s="94" t="str">
        <f>IFERROR(VLOOKUP(TRIM(O336), Collection!$B$2:$D$1001, 2, FALSE), "")</f>
        <v/>
      </c>
      <c r="Q336" s="190" t="str">
        <f>IFERROR(VLOOKUP(TRIM(O336), Collection!$B$2:$D$1001, 3, FALSE), "")</f>
        <v/>
      </c>
      <c r="R336" s="153" t="str">
        <f t="shared" si="37"/>
        <v/>
      </c>
      <c r="S336" s="151"/>
      <c r="T336" s="158"/>
      <c r="U336" s="137"/>
      <c r="V336" s="137"/>
      <c r="W336" s="156" t="str">
        <f t="shared" si="41"/>
        <v/>
      </c>
      <c r="X336" s="157"/>
      <c r="Y336" s="158"/>
      <c r="Z336" s="158"/>
      <c r="AA336" s="137" t="str">
        <f t="shared" ca="1" si="42"/>
        <v/>
      </c>
      <c r="AB336" s="137" t="str">
        <f t="shared" ca="1" si="38"/>
        <v/>
      </c>
      <c r="AC336" s="160" t="str">
        <f t="shared" ca="1" si="39"/>
        <v/>
      </c>
      <c r="AD336" s="159" t="str">
        <f t="shared" ca="1" si="40"/>
        <v/>
      </c>
      <c r="AE336" s="161"/>
      <c r="AF336" s="161"/>
      <c r="AG336" s="161"/>
      <c r="AH336" s="137"/>
      <c r="AI336" s="164" t="str">
        <f t="shared" si="36"/>
        <v/>
      </c>
      <c r="AJ336" s="164" t="str">
        <f>IF(AND(OpenPendingCases[[#This Row],[Sale Status	]]="Open Sale",OpenPendingCases[[#This Row],[Potential Same Month]]="High"),TEXT(OpenPendingCases[[#This Row],[Request Entry Date]], "[$-en-us]mmmm"),"")</f>
        <v/>
      </c>
      <c r="AK336" s="165" t="str">
        <f>IFERROR(VALUE(SUBSTITUTE(OpenPendingCases[[#This Row],[Price]]," AED","")),"")</f>
        <v/>
      </c>
      <c r="AL336" s="165" t="str">
        <f>IFERROR(VALUE(LEFT(OpenPendingCases[[#This Row],[Price]],FIND(" ",OpenPendingCases[[#This Row],[Price]])-1)),"")</f>
        <v/>
      </c>
      <c r="AM336" s="165" t="str">
        <f>IFERROR(VALUE(_xlfn.TEXTBEFORE(OpenPendingCases[[#This Row],[Price]]," AED")),"")</f>
        <v/>
      </c>
      <c r="AN336" s="165"/>
    </row>
    <row r="337" spans="3:40" ht="18" hidden="1" x14ac:dyDescent="0.35">
      <c r="C337" s="134"/>
      <c r="D337" s="137" t="str">
        <f>IF($U337="Open Sale", IF(MAX($D$4:D336)+1=0, "", MAX($D$4:D336)+1), "")</f>
        <v/>
      </c>
      <c r="E337" s="137" t="str">
        <f>IF($U337="Pending Allocation", IF(MAX($E$4:E336)+1=0, "", MAX($E$4:E336)+1), "")</f>
        <v/>
      </c>
      <c r="F337" s="137"/>
      <c r="G337" s="137"/>
      <c r="H337" s="150"/>
      <c r="I337" s="150"/>
      <c r="J337" s="68" t="str">
        <f>IF(OpenPendingCases[[#This Row],[Timepiece Reference ]]="", "", IF(_xlfn.XLOOKUP(OpenPendingCases[[#This Row],[Timepiece Reference ]], Table1[[Timepiece Reference ]], Table1[CRC STOCK], "Not Found")="YES", "CRC Stock", "Boutique Stock"))</f>
        <v/>
      </c>
      <c r="K337" s="137" t="str">
        <f>IF(OpenPendingCases[[#This Row],[Timepiece Reference ]]="", "", IF(_xlfn.XLOOKUP(OpenPendingCases[[#This Row],[Timepiece Reference ]], Table1[[Timepiece Reference ]], Table1[CRC STOCK], "Not Found")="YES", "CRC Stock", "Boutique Stock"))</f>
        <v/>
      </c>
      <c r="L337" s="143"/>
      <c r="M337" s="141"/>
      <c r="N337" s="137"/>
      <c r="O337" s="134"/>
      <c r="P337" s="94" t="str">
        <f>IFERROR(VLOOKUP(TRIM(O337), Collection!$B$2:$D$1001, 2, FALSE), "")</f>
        <v/>
      </c>
      <c r="Q337" s="190" t="str">
        <f>IFERROR(VLOOKUP(TRIM(O337), Collection!$B$2:$D$1001, 3, FALSE), "")</f>
        <v/>
      </c>
      <c r="R337" s="153" t="str">
        <f t="shared" si="37"/>
        <v/>
      </c>
      <c r="S337" s="151"/>
      <c r="T337" s="158"/>
      <c r="U337" s="137"/>
      <c r="V337" s="137"/>
      <c r="W337" s="156" t="str">
        <f t="shared" si="41"/>
        <v/>
      </c>
      <c r="X337" s="157"/>
      <c r="Y337" s="158"/>
      <c r="Z337" s="158"/>
      <c r="AA337" s="137" t="str">
        <f t="shared" ca="1" si="42"/>
        <v/>
      </c>
      <c r="AB337" s="137" t="str">
        <f t="shared" ca="1" si="38"/>
        <v/>
      </c>
      <c r="AC337" s="160" t="str">
        <f t="shared" ca="1" si="39"/>
        <v/>
      </c>
      <c r="AD337" s="159" t="str">
        <f t="shared" ca="1" si="40"/>
        <v/>
      </c>
      <c r="AE337" s="161"/>
      <c r="AF337" s="161"/>
      <c r="AG337" s="161"/>
      <c r="AH337" s="137"/>
      <c r="AI337" s="164" t="str">
        <f t="shared" si="36"/>
        <v/>
      </c>
      <c r="AJ337" s="164" t="str">
        <f>IF(AND(OpenPendingCases[[#This Row],[Sale Status	]]="Open Sale",OpenPendingCases[[#This Row],[Potential Same Month]]="High"),TEXT(OpenPendingCases[[#This Row],[Request Entry Date]], "[$-en-us]mmmm"),"")</f>
        <v/>
      </c>
      <c r="AK337" s="165" t="str">
        <f>IFERROR(VALUE(SUBSTITUTE(OpenPendingCases[[#This Row],[Price]]," AED","")),"")</f>
        <v/>
      </c>
      <c r="AL337" s="165" t="str">
        <f>IFERROR(VALUE(LEFT(OpenPendingCases[[#This Row],[Price]],FIND(" ",OpenPendingCases[[#This Row],[Price]])-1)),"")</f>
        <v/>
      </c>
      <c r="AM337" s="165" t="str">
        <f>IFERROR(VALUE(_xlfn.TEXTBEFORE(OpenPendingCases[[#This Row],[Price]]," AED")),"")</f>
        <v/>
      </c>
      <c r="AN337" s="165"/>
    </row>
    <row r="338" spans="3:40" ht="18" hidden="1" x14ac:dyDescent="0.35">
      <c r="C338" s="134"/>
      <c r="D338" s="137" t="str">
        <f>IF($U338="Open Sale", IF(MAX($D$4:D337)+1=0, "", MAX($D$4:D337)+1), "")</f>
        <v/>
      </c>
      <c r="E338" s="137" t="str">
        <f>IF($U338="Pending Allocation", IF(MAX($E$4:E337)+1=0, "", MAX($E$4:E337)+1), "")</f>
        <v/>
      </c>
      <c r="F338" s="137"/>
      <c r="G338" s="137"/>
      <c r="H338" s="150"/>
      <c r="I338" s="150"/>
      <c r="J338" s="68" t="str">
        <f>IF(OpenPendingCases[[#This Row],[Timepiece Reference ]]="", "", IF(_xlfn.XLOOKUP(OpenPendingCases[[#This Row],[Timepiece Reference ]], Table1[[Timepiece Reference ]], Table1[CRC STOCK], "Not Found")="YES", "CRC Stock", "Boutique Stock"))</f>
        <v/>
      </c>
      <c r="K338" s="137" t="str">
        <f>IF(OpenPendingCases[[#This Row],[Timepiece Reference ]]="", "", IF(_xlfn.XLOOKUP(OpenPendingCases[[#This Row],[Timepiece Reference ]], Table1[[Timepiece Reference ]], Table1[CRC STOCK], "Not Found")="YES", "CRC Stock", "Boutique Stock"))</f>
        <v/>
      </c>
      <c r="L338" s="143"/>
      <c r="M338" s="141"/>
      <c r="N338" s="137"/>
      <c r="O338" s="134"/>
      <c r="P338" s="94" t="str">
        <f>IFERROR(VLOOKUP(TRIM(O338), Collection!$B$2:$D$1001, 2, FALSE), "")</f>
        <v/>
      </c>
      <c r="Q338" s="190" t="str">
        <f>IFERROR(VLOOKUP(TRIM(O338), Collection!$B$2:$D$1001, 3, FALSE), "")</f>
        <v/>
      </c>
      <c r="R338" s="153" t="str">
        <f t="shared" si="37"/>
        <v/>
      </c>
      <c r="S338" s="151"/>
      <c r="T338" s="158"/>
      <c r="U338" s="137"/>
      <c r="V338" s="137"/>
      <c r="W338" s="156" t="str">
        <f t="shared" si="41"/>
        <v/>
      </c>
      <c r="X338" s="157"/>
      <c r="Y338" s="158"/>
      <c r="Z338" s="158"/>
      <c r="AA338" s="137" t="str">
        <f t="shared" ca="1" si="42"/>
        <v/>
      </c>
      <c r="AB338" s="137" t="str">
        <f t="shared" ca="1" si="38"/>
        <v/>
      </c>
      <c r="AC338" s="160" t="str">
        <f t="shared" ca="1" si="39"/>
        <v/>
      </c>
      <c r="AD338" s="159" t="str">
        <f t="shared" ca="1" si="40"/>
        <v/>
      </c>
      <c r="AE338" s="161"/>
      <c r="AF338" s="161"/>
      <c r="AG338" s="161"/>
      <c r="AH338" s="137"/>
      <c r="AI338" s="164" t="str">
        <f t="shared" si="36"/>
        <v/>
      </c>
      <c r="AJ338" s="164" t="str">
        <f>IF(AND(OpenPendingCases[[#This Row],[Sale Status	]]="Open Sale",OpenPendingCases[[#This Row],[Potential Same Month]]="High"),TEXT(OpenPendingCases[[#This Row],[Request Entry Date]], "[$-en-us]mmmm"),"")</f>
        <v/>
      </c>
      <c r="AK338" s="165" t="str">
        <f>IFERROR(VALUE(SUBSTITUTE(OpenPendingCases[[#This Row],[Price]]," AED","")),"")</f>
        <v/>
      </c>
      <c r="AL338" s="165" t="str">
        <f>IFERROR(VALUE(LEFT(OpenPendingCases[[#This Row],[Price]],FIND(" ",OpenPendingCases[[#This Row],[Price]])-1)),"")</f>
        <v/>
      </c>
      <c r="AM338" s="165" t="str">
        <f>IFERROR(VALUE(_xlfn.TEXTBEFORE(OpenPendingCases[[#This Row],[Price]]," AED")),"")</f>
        <v/>
      </c>
      <c r="AN338" s="165"/>
    </row>
    <row r="339" spans="3:40" ht="18" hidden="1" x14ac:dyDescent="0.35">
      <c r="C339" s="134"/>
      <c r="D339" s="137" t="str">
        <f>IF($U339="Open Sale", IF(MAX($D$4:D338)+1=0, "", MAX($D$4:D338)+1), "")</f>
        <v/>
      </c>
      <c r="E339" s="137" t="str">
        <f>IF($U339="Pending Allocation", IF(MAX($E$4:E338)+1=0, "", MAX($E$4:E338)+1), "")</f>
        <v/>
      </c>
      <c r="F339" s="137"/>
      <c r="G339" s="137"/>
      <c r="H339" s="150"/>
      <c r="I339" s="150"/>
      <c r="J339" s="68" t="str">
        <f>IF(OpenPendingCases[[#This Row],[Timepiece Reference ]]="", "", IF(_xlfn.XLOOKUP(OpenPendingCases[[#This Row],[Timepiece Reference ]], Table1[[Timepiece Reference ]], Table1[CRC STOCK], "Not Found")="YES", "CRC Stock", "Boutique Stock"))</f>
        <v/>
      </c>
      <c r="K339" s="137" t="str">
        <f>IF(OpenPendingCases[[#This Row],[Timepiece Reference ]]="", "", IF(_xlfn.XLOOKUP(OpenPendingCases[[#This Row],[Timepiece Reference ]], Table1[[Timepiece Reference ]], Table1[CRC STOCK], "Not Found")="YES", "CRC Stock", "Boutique Stock"))</f>
        <v/>
      </c>
      <c r="L339" s="143"/>
      <c r="M339" s="141"/>
      <c r="N339" s="137"/>
      <c r="O339" s="134"/>
      <c r="P339" s="94" t="str">
        <f>IFERROR(VLOOKUP(TRIM(O339), Collection!$B$2:$D$1001, 2, FALSE), "")</f>
        <v/>
      </c>
      <c r="Q339" s="190" t="str">
        <f>IFERROR(VLOOKUP(TRIM(O339), Collection!$B$2:$D$1001, 3, FALSE), "")</f>
        <v/>
      </c>
      <c r="R339" s="153" t="str">
        <f t="shared" si="37"/>
        <v/>
      </c>
      <c r="S339" s="151"/>
      <c r="T339" s="158"/>
      <c r="U339" s="137"/>
      <c r="V339" s="137"/>
      <c r="W339" s="156" t="str">
        <f t="shared" si="41"/>
        <v/>
      </c>
      <c r="X339" s="157"/>
      <c r="Y339" s="158"/>
      <c r="Z339" s="158"/>
      <c r="AA339" s="137" t="str">
        <f t="shared" ca="1" si="42"/>
        <v/>
      </c>
      <c r="AB339" s="137" t="str">
        <f t="shared" ca="1" si="38"/>
        <v/>
      </c>
      <c r="AC339" s="160" t="str">
        <f t="shared" ca="1" si="39"/>
        <v/>
      </c>
      <c r="AD339" s="159" t="str">
        <f t="shared" ca="1" si="40"/>
        <v/>
      </c>
      <c r="AE339" s="161"/>
      <c r="AF339" s="161"/>
      <c r="AG339" s="161"/>
      <c r="AH339" s="137"/>
      <c r="AI339" s="164" t="str">
        <f t="shared" si="36"/>
        <v/>
      </c>
      <c r="AJ339" s="164" t="str">
        <f>IF(AND(OpenPendingCases[[#This Row],[Sale Status	]]="Open Sale",OpenPendingCases[[#This Row],[Potential Same Month]]="High"),TEXT(OpenPendingCases[[#This Row],[Request Entry Date]], "[$-en-us]mmmm"),"")</f>
        <v/>
      </c>
      <c r="AK339" s="165" t="str">
        <f>IFERROR(VALUE(SUBSTITUTE(OpenPendingCases[[#This Row],[Price]]," AED","")),"")</f>
        <v/>
      </c>
      <c r="AL339" s="165" t="str">
        <f>IFERROR(VALUE(LEFT(OpenPendingCases[[#This Row],[Price]],FIND(" ",OpenPendingCases[[#This Row],[Price]])-1)),"")</f>
        <v/>
      </c>
      <c r="AM339" s="165" t="str">
        <f>IFERROR(VALUE(_xlfn.TEXTBEFORE(OpenPendingCases[[#This Row],[Price]]," AED")),"")</f>
        <v/>
      </c>
      <c r="AN339" s="165"/>
    </row>
    <row r="340" spans="3:40" ht="18" hidden="1" x14ac:dyDescent="0.35">
      <c r="C340" s="134"/>
      <c r="D340" s="137" t="str">
        <f>IF($U340="Open Sale", IF(MAX($D$4:D339)+1=0, "", MAX($D$4:D339)+1), "")</f>
        <v/>
      </c>
      <c r="E340" s="137" t="str">
        <f>IF($U340="Pending Allocation", IF(MAX($E$4:E339)+1=0, "", MAX($E$4:E339)+1), "")</f>
        <v/>
      </c>
      <c r="F340" s="137"/>
      <c r="G340" s="137"/>
      <c r="H340" s="150"/>
      <c r="I340" s="150"/>
      <c r="J340" s="68" t="str">
        <f>IF(OpenPendingCases[[#This Row],[Timepiece Reference ]]="", "", IF(_xlfn.XLOOKUP(OpenPendingCases[[#This Row],[Timepiece Reference ]], Table1[[Timepiece Reference ]], Table1[CRC STOCK], "Not Found")="YES", "CRC Stock", "Boutique Stock"))</f>
        <v/>
      </c>
      <c r="K340" s="137" t="str">
        <f>IF(OpenPendingCases[[#This Row],[Timepiece Reference ]]="", "", IF(_xlfn.XLOOKUP(OpenPendingCases[[#This Row],[Timepiece Reference ]], Table1[[Timepiece Reference ]], Table1[CRC STOCK], "Not Found")="YES", "CRC Stock", "Boutique Stock"))</f>
        <v/>
      </c>
      <c r="L340" s="143"/>
      <c r="M340" s="141"/>
      <c r="N340" s="137"/>
      <c r="O340" s="134"/>
      <c r="P340" s="94" t="str">
        <f>IFERROR(VLOOKUP(TRIM(O340), Collection!$B$2:$D$1001, 2, FALSE), "")</f>
        <v/>
      </c>
      <c r="Q340" s="190" t="str">
        <f>IFERROR(VLOOKUP(TRIM(O340), Collection!$B$2:$D$1001, 3, FALSE), "")</f>
        <v/>
      </c>
      <c r="R340" s="153" t="str">
        <f t="shared" si="37"/>
        <v/>
      </c>
      <c r="S340" s="151"/>
      <c r="T340" s="158"/>
      <c r="U340" s="137"/>
      <c r="V340" s="137"/>
      <c r="W340" s="156" t="str">
        <f t="shared" si="41"/>
        <v/>
      </c>
      <c r="X340" s="157"/>
      <c r="Y340" s="158"/>
      <c r="Z340" s="158"/>
      <c r="AA340" s="137" t="str">
        <f t="shared" ca="1" si="42"/>
        <v/>
      </c>
      <c r="AB340" s="137" t="str">
        <f t="shared" ca="1" si="38"/>
        <v/>
      </c>
      <c r="AC340" s="160" t="str">
        <f t="shared" ca="1" si="39"/>
        <v/>
      </c>
      <c r="AD340" s="159" t="str">
        <f t="shared" ca="1" si="40"/>
        <v/>
      </c>
      <c r="AE340" s="161"/>
      <c r="AF340" s="161"/>
      <c r="AG340" s="161"/>
      <c r="AH340" s="137"/>
      <c r="AI340" s="164" t="str">
        <f t="shared" si="36"/>
        <v/>
      </c>
      <c r="AJ340" s="164" t="str">
        <f>IF(AND(OpenPendingCases[[#This Row],[Sale Status	]]="Open Sale",OpenPendingCases[[#This Row],[Potential Same Month]]="High"),TEXT(OpenPendingCases[[#This Row],[Request Entry Date]], "[$-en-us]mmmm"),"")</f>
        <v/>
      </c>
      <c r="AK340" s="165" t="str">
        <f>IFERROR(VALUE(SUBSTITUTE(OpenPendingCases[[#This Row],[Price]]," AED","")),"")</f>
        <v/>
      </c>
      <c r="AL340" s="165" t="str">
        <f>IFERROR(VALUE(LEFT(OpenPendingCases[[#This Row],[Price]],FIND(" ",OpenPendingCases[[#This Row],[Price]])-1)),"")</f>
        <v/>
      </c>
      <c r="AM340" s="165" t="str">
        <f>IFERROR(VALUE(_xlfn.TEXTBEFORE(OpenPendingCases[[#This Row],[Price]]," AED")),"")</f>
        <v/>
      </c>
      <c r="AN340" s="165"/>
    </row>
    <row r="341" spans="3:40" ht="18" hidden="1" x14ac:dyDescent="0.35">
      <c r="C341" s="134"/>
      <c r="D341" s="137" t="str">
        <f>IF($U341="Open Sale", IF(MAX($D$4:D340)+1=0, "", MAX($D$4:D340)+1), "")</f>
        <v/>
      </c>
      <c r="E341" s="137" t="str">
        <f>IF($U341="Pending Allocation", IF(MAX($E$4:E340)+1=0, "", MAX($E$4:E340)+1), "")</f>
        <v/>
      </c>
      <c r="F341" s="137"/>
      <c r="G341" s="137"/>
      <c r="H341" s="150"/>
      <c r="I341" s="150"/>
      <c r="J341" s="68" t="str">
        <f>IF(OpenPendingCases[[#This Row],[Timepiece Reference ]]="", "", IF(_xlfn.XLOOKUP(OpenPendingCases[[#This Row],[Timepiece Reference ]], Table1[[Timepiece Reference ]], Table1[CRC STOCK], "Not Found")="YES", "CRC Stock", "Boutique Stock"))</f>
        <v/>
      </c>
      <c r="K341" s="137" t="str">
        <f>IF(OpenPendingCases[[#This Row],[Timepiece Reference ]]="", "", IF(_xlfn.XLOOKUP(OpenPendingCases[[#This Row],[Timepiece Reference ]], Table1[[Timepiece Reference ]], Table1[CRC STOCK], "Not Found")="YES", "CRC Stock", "Boutique Stock"))</f>
        <v/>
      </c>
      <c r="L341" s="143"/>
      <c r="M341" s="141"/>
      <c r="N341" s="137"/>
      <c r="O341" s="134"/>
      <c r="P341" s="94" t="str">
        <f>IFERROR(VLOOKUP(TRIM(O341), Collection!$B$2:$D$1001, 2, FALSE), "")</f>
        <v/>
      </c>
      <c r="Q341" s="190" t="str">
        <f>IFERROR(VLOOKUP(TRIM(O341), Collection!$B$2:$D$1001, 3, FALSE), "")</f>
        <v/>
      </c>
      <c r="R341" s="153" t="str">
        <f t="shared" si="37"/>
        <v/>
      </c>
      <c r="S341" s="151"/>
      <c r="T341" s="158"/>
      <c r="U341" s="137"/>
      <c r="V341" s="137"/>
      <c r="W341" s="156" t="str">
        <f t="shared" si="41"/>
        <v/>
      </c>
      <c r="X341" s="157"/>
      <c r="Y341" s="158"/>
      <c r="Z341" s="158"/>
      <c r="AA341" s="137" t="str">
        <f t="shared" ca="1" si="42"/>
        <v/>
      </c>
      <c r="AB341" s="137" t="str">
        <f t="shared" ca="1" si="38"/>
        <v/>
      </c>
      <c r="AC341" s="160" t="str">
        <f t="shared" ca="1" si="39"/>
        <v/>
      </c>
      <c r="AD341" s="159" t="str">
        <f t="shared" ca="1" si="40"/>
        <v/>
      </c>
      <c r="AE341" s="161"/>
      <c r="AF341" s="161"/>
      <c r="AG341" s="161"/>
      <c r="AH341" s="137"/>
      <c r="AI341" s="164" t="str">
        <f t="shared" si="36"/>
        <v/>
      </c>
      <c r="AJ341" s="164" t="str">
        <f>IF(AND(OpenPendingCases[[#This Row],[Sale Status	]]="Open Sale",OpenPendingCases[[#This Row],[Potential Same Month]]="High"),TEXT(OpenPendingCases[[#This Row],[Request Entry Date]], "[$-en-us]mmmm"),"")</f>
        <v/>
      </c>
      <c r="AK341" s="165" t="str">
        <f>IFERROR(VALUE(SUBSTITUTE(OpenPendingCases[[#This Row],[Price]]," AED","")),"")</f>
        <v/>
      </c>
      <c r="AL341" s="165" t="str">
        <f>IFERROR(VALUE(LEFT(OpenPendingCases[[#This Row],[Price]],FIND(" ",OpenPendingCases[[#This Row],[Price]])-1)),"")</f>
        <v/>
      </c>
      <c r="AM341" s="165" t="str">
        <f>IFERROR(VALUE(_xlfn.TEXTBEFORE(OpenPendingCases[[#This Row],[Price]]," AED")),"")</f>
        <v/>
      </c>
      <c r="AN341" s="165"/>
    </row>
    <row r="342" spans="3:40" ht="18" hidden="1" x14ac:dyDescent="0.35">
      <c r="C342" s="134"/>
      <c r="D342" s="137" t="str">
        <f>IF($U342="Open Sale", IF(MAX($D$4:D341)+1=0, "", MAX($D$4:D341)+1), "")</f>
        <v/>
      </c>
      <c r="E342" s="137" t="str">
        <f>IF($U342="Pending Allocation", IF(MAX($E$4:E341)+1=0, "", MAX($E$4:E341)+1), "")</f>
        <v/>
      </c>
      <c r="F342" s="137"/>
      <c r="G342" s="137"/>
      <c r="H342" s="150"/>
      <c r="I342" s="150"/>
      <c r="J342" s="68" t="str">
        <f>IF(OpenPendingCases[[#This Row],[Timepiece Reference ]]="", "", IF(_xlfn.XLOOKUP(OpenPendingCases[[#This Row],[Timepiece Reference ]], Table1[[Timepiece Reference ]], Table1[CRC STOCK], "Not Found")="YES", "CRC Stock", "Boutique Stock"))</f>
        <v/>
      </c>
      <c r="K342" s="137" t="str">
        <f>IF(OpenPendingCases[[#This Row],[Timepiece Reference ]]="", "", IF(_xlfn.XLOOKUP(OpenPendingCases[[#This Row],[Timepiece Reference ]], Table1[[Timepiece Reference ]], Table1[CRC STOCK], "Not Found")="YES", "CRC Stock", "Boutique Stock"))</f>
        <v/>
      </c>
      <c r="L342" s="143"/>
      <c r="M342" s="141"/>
      <c r="N342" s="137"/>
      <c r="O342" s="134"/>
      <c r="P342" s="94" t="str">
        <f>IFERROR(VLOOKUP(TRIM(O342), Collection!$B$2:$D$1001, 2, FALSE), "")</f>
        <v/>
      </c>
      <c r="Q342" s="190" t="str">
        <f>IFERROR(VLOOKUP(TRIM(O342), Collection!$B$2:$D$1001, 3, FALSE), "")</f>
        <v/>
      </c>
      <c r="R342" s="153" t="str">
        <f t="shared" si="37"/>
        <v/>
      </c>
      <c r="S342" s="151"/>
      <c r="T342" s="158"/>
      <c r="U342" s="137"/>
      <c r="V342" s="137"/>
      <c r="W342" s="156" t="str">
        <f t="shared" si="41"/>
        <v/>
      </c>
      <c r="X342" s="157"/>
      <c r="Y342" s="158"/>
      <c r="Z342" s="158"/>
      <c r="AA342" s="137" t="str">
        <f t="shared" ca="1" si="42"/>
        <v/>
      </c>
      <c r="AB342" s="137" t="str">
        <f t="shared" ca="1" si="38"/>
        <v/>
      </c>
      <c r="AC342" s="160" t="str">
        <f t="shared" ca="1" si="39"/>
        <v/>
      </c>
      <c r="AD342" s="159" t="str">
        <f t="shared" ca="1" si="40"/>
        <v/>
      </c>
      <c r="AE342" s="161"/>
      <c r="AF342" s="161"/>
      <c r="AG342" s="161"/>
      <c r="AH342" s="137"/>
      <c r="AI342" s="164" t="str">
        <f t="shared" ref="AI342:AI405" si="43">IF(I342="","",TEXT(I342, "mmmm yyyy"))</f>
        <v/>
      </c>
      <c r="AJ342" s="164" t="str">
        <f>IF(AND(OpenPendingCases[[#This Row],[Sale Status	]]="Open Sale",OpenPendingCases[[#This Row],[Potential Same Month]]="High"),TEXT(OpenPendingCases[[#This Row],[Request Entry Date]], "[$-en-us]mmmm"),"")</f>
        <v/>
      </c>
      <c r="AK342" s="165" t="str">
        <f>IFERROR(VALUE(SUBSTITUTE(OpenPendingCases[[#This Row],[Price]]," AED","")),"")</f>
        <v/>
      </c>
      <c r="AL342" s="165" t="str">
        <f>IFERROR(VALUE(LEFT(OpenPendingCases[[#This Row],[Price]],FIND(" ",OpenPendingCases[[#This Row],[Price]])-1)),"")</f>
        <v/>
      </c>
      <c r="AM342" s="165" t="str">
        <f>IFERROR(VALUE(_xlfn.TEXTBEFORE(OpenPendingCases[[#This Row],[Price]]," AED")),"")</f>
        <v/>
      </c>
      <c r="AN342" s="165"/>
    </row>
    <row r="343" spans="3:40" ht="18" hidden="1" x14ac:dyDescent="0.35">
      <c r="C343" s="134"/>
      <c r="D343" s="137" t="str">
        <f>IF($U343="Open Sale", IF(MAX($D$4:D342)+1=0, "", MAX($D$4:D342)+1), "")</f>
        <v/>
      </c>
      <c r="E343" s="137" t="str">
        <f>IF($U343="Pending Allocation", IF(MAX($E$4:E342)+1=0, "", MAX($E$4:E342)+1), "")</f>
        <v/>
      </c>
      <c r="F343" s="137"/>
      <c r="G343" s="137"/>
      <c r="H343" s="150"/>
      <c r="I343" s="150"/>
      <c r="J343" s="68" t="str">
        <f>IF(OpenPendingCases[[#This Row],[Timepiece Reference ]]="", "", IF(_xlfn.XLOOKUP(OpenPendingCases[[#This Row],[Timepiece Reference ]], Table1[[Timepiece Reference ]], Table1[CRC STOCK], "Not Found")="YES", "CRC Stock", "Boutique Stock"))</f>
        <v/>
      </c>
      <c r="K343" s="137" t="str">
        <f>IF(OpenPendingCases[[#This Row],[Timepiece Reference ]]="", "", IF(_xlfn.XLOOKUP(OpenPendingCases[[#This Row],[Timepiece Reference ]], Table1[[Timepiece Reference ]], Table1[CRC STOCK], "Not Found")="YES", "CRC Stock", "Boutique Stock"))</f>
        <v/>
      </c>
      <c r="L343" s="143"/>
      <c r="M343" s="141"/>
      <c r="N343" s="137"/>
      <c r="O343" s="134"/>
      <c r="P343" s="94" t="str">
        <f>IFERROR(VLOOKUP(TRIM(O343), Collection!$B$2:$D$1001, 2, FALSE), "")</f>
        <v/>
      </c>
      <c r="Q343" s="190" t="str">
        <f>IFERROR(VLOOKUP(TRIM(O343), Collection!$B$2:$D$1001, 3, FALSE), "")</f>
        <v/>
      </c>
      <c r="R343" s="153" t="str">
        <f t="shared" si="37"/>
        <v/>
      </c>
      <c r="S343" s="151"/>
      <c r="T343" s="158"/>
      <c r="U343" s="137"/>
      <c r="V343" s="137"/>
      <c r="W343" s="156" t="str">
        <f t="shared" si="41"/>
        <v/>
      </c>
      <c r="X343" s="157"/>
      <c r="Y343" s="158"/>
      <c r="Z343" s="158"/>
      <c r="AA343" s="137" t="str">
        <f t="shared" ca="1" si="42"/>
        <v/>
      </c>
      <c r="AB343" s="137" t="str">
        <f t="shared" ca="1" si="38"/>
        <v/>
      </c>
      <c r="AC343" s="160" t="str">
        <f t="shared" ca="1" si="39"/>
        <v/>
      </c>
      <c r="AD343" s="159" t="str">
        <f t="shared" ca="1" si="40"/>
        <v/>
      </c>
      <c r="AE343" s="161"/>
      <c r="AF343" s="161"/>
      <c r="AG343" s="161"/>
      <c r="AH343" s="137"/>
      <c r="AI343" s="164" t="str">
        <f t="shared" si="43"/>
        <v/>
      </c>
      <c r="AJ343" s="164" t="str">
        <f>IF(AND(OpenPendingCases[[#This Row],[Sale Status	]]="Open Sale",OpenPendingCases[[#This Row],[Potential Same Month]]="High"),TEXT(OpenPendingCases[[#This Row],[Request Entry Date]], "[$-en-us]mmmm"),"")</f>
        <v/>
      </c>
      <c r="AK343" s="165" t="str">
        <f>IFERROR(VALUE(SUBSTITUTE(OpenPendingCases[[#This Row],[Price]]," AED","")),"")</f>
        <v/>
      </c>
      <c r="AL343" s="165" t="str">
        <f>IFERROR(VALUE(LEFT(OpenPendingCases[[#This Row],[Price]],FIND(" ",OpenPendingCases[[#This Row],[Price]])-1)),"")</f>
        <v/>
      </c>
      <c r="AM343" s="165" t="str">
        <f>IFERROR(VALUE(_xlfn.TEXTBEFORE(OpenPendingCases[[#This Row],[Price]]," AED")),"")</f>
        <v/>
      </c>
      <c r="AN343" s="165"/>
    </row>
    <row r="344" spans="3:40" ht="18" hidden="1" x14ac:dyDescent="0.35">
      <c r="C344" s="134"/>
      <c r="D344" s="137" t="str">
        <f>IF($U344="Open Sale", IF(MAX($D$4:D343)+1=0, "", MAX($D$4:D343)+1), "")</f>
        <v/>
      </c>
      <c r="E344" s="137" t="str">
        <f>IF($U344="Pending Allocation", IF(MAX($E$4:E343)+1=0, "", MAX($E$4:E343)+1), "")</f>
        <v/>
      </c>
      <c r="F344" s="137"/>
      <c r="G344" s="137"/>
      <c r="H344" s="150"/>
      <c r="I344" s="150"/>
      <c r="J344" s="68" t="str">
        <f>IF(OpenPendingCases[[#This Row],[Timepiece Reference ]]="", "", IF(_xlfn.XLOOKUP(OpenPendingCases[[#This Row],[Timepiece Reference ]], Table1[[Timepiece Reference ]], Table1[CRC STOCK], "Not Found")="YES", "CRC Stock", "Boutique Stock"))</f>
        <v/>
      </c>
      <c r="K344" s="137" t="str">
        <f>IF(OpenPendingCases[[#This Row],[Timepiece Reference ]]="", "", IF(_xlfn.XLOOKUP(OpenPendingCases[[#This Row],[Timepiece Reference ]], Table1[[Timepiece Reference ]], Table1[CRC STOCK], "Not Found")="YES", "CRC Stock", "Boutique Stock"))</f>
        <v/>
      </c>
      <c r="L344" s="143"/>
      <c r="M344" s="141"/>
      <c r="N344" s="137"/>
      <c r="O344" s="134"/>
      <c r="P344" s="94" t="str">
        <f>IFERROR(VLOOKUP(TRIM(O344), Collection!$B$2:$D$1001, 2, FALSE), "")</f>
        <v/>
      </c>
      <c r="Q344" s="190" t="str">
        <f>IFERROR(VLOOKUP(TRIM(O344), Collection!$B$2:$D$1001, 3, FALSE), "")</f>
        <v/>
      </c>
      <c r="R344" s="153" t="str">
        <f t="shared" si="37"/>
        <v/>
      </c>
      <c r="S344" s="151"/>
      <c r="T344" s="158"/>
      <c r="U344" s="137"/>
      <c r="V344" s="137"/>
      <c r="W344" s="156" t="str">
        <f t="shared" si="41"/>
        <v/>
      </c>
      <c r="X344" s="157"/>
      <c r="Y344" s="158"/>
      <c r="Z344" s="158"/>
      <c r="AA344" s="137" t="str">
        <f t="shared" ca="1" si="42"/>
        <v/>
      </c>
      <c r="AB344" s="137" t="str">
        <f t="shared" ca="1" si="38"/>
        <v/>
      </c>
      <c r="AC344" s="160" t="str">
        <f t="shared" ca="1" si="39"/>
        <v/>
      </c>
      <c r="AD344" s="159" t="str">
        <f t="shared" ca="1" si="40"/>
        <v/>
      </c>
      <c r="AE344" s="161"/>
      <c r="AF344" s="161"/>
      <c r="AG344" s="161"/>
      <c r="AH344" s="137"/>
      <c r="AI344" s="164" t="str">
        <f t="shared" si="43"/>
        <v/>
      </c>
      <c r="AJ344" s="164" t="str">
        <f>IF(AND(OpenPendingCases[[#This Row],[Sale Status	]]="Open Sale",OpenPendingCases[[#This Row],[Potential Same Month]]="High"),TEXT(OpenPendingCases[[#This Row],[Request Entry Date]], "[$-en-us]mmmm"),"")</f>
        <v/>
      </c>
      <c r="AK344" s="165" t="str">
        <f>IFERROR(VALUE(SUBSTITUTE(OpenPendingCases[[#This Row],[Price]]," AED","")),"")</f>
        <v/>
      </c>
      <c r="AL344" s="165" t="str">
        <f>IFERROR(VALUE(LEFT(OpenPendingCases[[#This Row],[Price]],FIND(" ",OpenPendingCases[[#This Row],[Price]])-1)),"")</f>
        <v/>
      </c>
      <c r="AM344" s="165" t="str">
        <f>IFERROR(VALUE(_xlfn.TEXTBEFORE(OpenPendingCases[[#This Row],[Price]]," AED")),"")</f>
        <v/>
      </c>
      <c r="AN344" s="165"/>
    </row>
    <row r="345" spans="3:40" ht="18" hidden="1" x14ac:dyDescent="0.35">
      <c r="C345" s="134"/>
      <c r="D345" s="137" t="str">
        <f>IF($U345="Open Sale", IF(MAX($D$4:D344)+1=0, "", MAX($D$4:D344)+1), "")</f>
        <v/>
      </c>
      <c r="E345" s="137" t="str">
        <f>IF($U345="Pending Allocation", IF(MAX($E$4:E344)+1=0, "", MAX($E$4:E344)+1), "")</f>
        <v/>
      </c>
      <c r="F345" s="137"/>
      <c r="G345" s="137"/>
      <c r="H345" s="150"/>
      <c r="I345" s="150"/>
      <c r="J345" s="68" t="str">
        <f>IF(OpenPendingCases[[#This Row],[Timepiece Reference ]]="", "", IF(_xlfn.XLOOKUP(OpenPendingCases[[#This Row],[Timepiece Reference ]], Table1[[Timepiece Reference ]], Table1[CRC STOCK], "Not Found")="YES", "CRC Stock", "Boutique Stock"))</f>
        <v/>
      </c>
      <c r="K345" s="137" t="str">
        <f>IF(OpenPendingCases[[#This Row],[Timepiece Reference ]]="", "", IF(_xlfn.XLOOKUP(OpenPendingCases[[#This Row],[Timepiece Reference ]], Table1[[Timepiece Reference ]], Table1[CRC STOCK], "Not Found")="YES", "CRC Stock", "Boutique Stock"))</f>
        <v/>
      </c>
      <c r="L345" s="143"/>
      <c r="M345" s="141"/>
      <c r="N345" s="137"/>
      <c r="O345" s="134"/>
      <c r="P345" s="94" t="str">
        <f>IFERROR(VLOOKUP(TRIM(O345), Collection!$B$2:$D$1001, 2, FALSE), "")</f>
        <v/>
      </c>
      <c r="Q345" s="190" t="str">
        <f>IFERROR(VLOOKUP(TRIM(O345), Collection!$B$2:$D$1001, 3, FALSE), "")</f>
        <v/>
      </c>
      <c r="R345" s="153" t="str">
        <f t="shared" si="37"/>
        <v/>
      </c>
      <c r="S345" s="151"/>
      <c r="T345" s="158"/>
      <c r="U345" s="137"/>
      <c r="V345" s="137"/>
      <c r="W345" s="156" t="str">
        <f t="shared" si="41"/>
        <v/>
      </c>
      <c r="X345" s="157"/>
      <c r="Y345" s="158"/>
      <c r="Z345" s="158"/>
      <c r="AA345" s="137" t="str">
        <f t="shared" ca="1" si="42"/>
        <v/>
      </c>
      <c r="AB345" s="137" t="str">
        <f t="shared" ca="1" si="38"/>
        <v/>
      </c>
      <c r="AC345" s="160" t="str">
        <f t="shared" ca="1" si="39"/>
        <v/>
      </c>
      <c r="AD345" s="159" t="str">
        <f t="shared" ca="1" si="40"/>
        <v/>
      </c>
      <c r="AE345" s="161"/>
      <c r="AF345" s="161"/>
      <c r="AG345" s="161"/>
      <c r="AH345" s="137"/>
      <c r="AI345" s="164" t="str">
        <f t="shared" si="43"/>
        <v/>
      </c>
      <c r="AJ345" s="164" t="str">
        <f>IF(AND(OpenPendingCases[[#This Row],[Sale Status	]]="Open Sale",OpenPendingCases[[#This Row],[Potential Same Month]]="High"),TEXT(OpenPendingCases[[#This Row],[Request Entry Date]], "[$-en-us]mmmm"),"")</f>
        <v/>
      </c>
      <c r="AK345" s="165" t="str">
        <f>IFERROR(VALUE(SUBSTITUTE(OpenPendingCases[[#This Row],[Price]]," AED","")),"")</f>
        <v/>
      </c>
      <c r="AL345" s="165" t="str">
        <f>IFERROR(VALUE(LEFT(OpenPendingCases[[#This Row],[Price]],FIND(" ",OpenPendingCases[[#This Row],[Price]])-1)),"")</f>
        <v/>
      </c>
      <c r="AM345" s="165" t="str">
        <f>IFERROR(VALUE(_xlfn.TEXTBEFORE(OpenPendingCases[[#This Row],[Price]]," AED")),"")</f>
        <v/>
      </c>
      <c r="AN345" s="165"/>
    </row>
    <row r="346" spans="3:40" ht="18" hidden="1" x14ac:dyDescent="0.35">
      <c r="C346" s="134"/>
      <c r="D346" s="137" t="str">
        <f>IF($U346="Open Sale", IF(MAX($D$4:D345)+1=0, "", MAX($D$4:D345)+1), "")</f>
        <v/>
      </c>
      <c r="E346" s="137" t="str">
        <f>IF($U346="Pending Allocation", IF(MAX($E$4:E345)+1=0, "", MAX($E$4:E345)+1), "")</f>
        <v/>
      </c>
      <c r="F346" s="137"/>
      <c r="G346" s="137"/>
      <c r="H346" s="150"/>
      <c r="I346" s="150"/>
      <c r="J346" s="68" t="str">
        <f>IF(OpenPendingCases[[#This Row],[Timepiece Reference ]]="", "", IF(_xlfn.XLOOKUP(OpenPendingCases[[#This Row],[Timepiece Reference ]], Table1[[Timepiece Reference ]], Table1[CRC STOCK], "Not Found")="YES", "CRC Stock", "Boutique Stock"))</f>
        <v/>
      </c>
      <c r="K346" s="137" t="str">
        <f>IF(OpenPendingCases[[#This Row],[Timepiece Reference ]]="", "", IF(_xlfn.XLOOKUP(OpenPendingCases[[#This Row],[Timepiece Reference ]], Table1[[Timepiece Reference ]], Table1[CRC STOCK], "Not Found")="YES", "CRC Stock", "Boutique Stock"))</f>
        <v/>
      </c>
      <c r="L346" s="143"/>
      <c r="M346" s="141"/>
      <c r="N346" s="137"/>
      <c r="O346" s="134"/>
      <c r="P346" s="94" t="str">
        <f>IFERROR(VLOOKUP(TRIM(O346), Collection!$B$2:$D$1001, 2, FALSE), "")</f>
        <v/>
      </c>
      <c r="Q346" s="190" t="str">
        <f>IFERROR(VLOOKUP(TRIM(O346), Collection!$B$2:$D$1001, 3, FALSE), "")</f>
        <v/>
      </c>
      <c r="R346" s="153" t="str">
        <f t="shared" si="37"/>
        <v/>
      </c>
      <c r="S346" s="151"/>
      <c r="T346" s="158"/>
      <c r="U346" s="137"/>
      <c r="V346" s="137"/>
      <c r="W346" s="156" t="str">
        <f t="shared" si="41"/>
        <v/>
      </c>
      <c r="X346" s="157"/>
      <c r="Y346" s="158"/>
      <c r="Z346" s="158"/>
      <c r="AA346" s="137" t="str">
        <f t="shared" ca="1" si="42"/>
        <v/>
      </c>
      <c r="AB346" s="137" t="str">
        <f t="shared" ca="1" si="38"/>
        <v/>
      </c>
      <c r="AC346" s="160" t="str">
        <f t="shared" ca="1" si="39"/>
        <v/>
      </c>
      <c r="AD346" s="159" t="str">
        <f t="shared" ca="1" si="40"/>
        <v/>
      </c>
      <c r="AE346" s="161"/>
      <c r="AF346" s="161"/>
      <c r="AG346" s="161"/>
      <c r="AH346" s="137"/>
      <c r="AI346" s="164" t="str">
        <f t="shared" si="43"/>
        <v/>
      </c>
      <c r="AJ346" s="164" t="str">
        <f>IF(AND(OpenPendingCases[[#This Row],[Sale Status	]]="Open Sale",OpenPendingCases[[#This Row],[Potential Same Month]]="High"),TEXT(OpenPendingCases[[#This Row],[Request Entry Date]], "[$-en-us]mmmm"),"")</f>
        <v/>
      </c>
      <c r="AK346" s="165" t="str">
        <f>IFERROR(VALUE(SUBSTITUTE(OpenPendingCases[[#This Row],[Price]]," AED","")),"")</f>
        <v/>
      </c>
      <c r="AL346" s="165" t="str">
        <f>IFERROR(VALUE(LEFT(OpenPendingCases[[#This Row],[Price]],FIND(" ",OpenPendingCases[[#This Row],[Price]])-1)),"")</f>
        <v/>
      </c>
      <c r="AM346" s="165" t="str">
        <f>IFERROR(VALUE(_xlfn.TEXTBEFORE(OpenPendingCases[[#This Row],[Price]]," AED")),"")</f>
        <v/>
      </c>
      <c r="AN346" s="165"/>
    </row>
    <row r="347" spans="3:40" ht="18" hidden="1" x14ac:dyDescent="0.35">
      <c r="C347" s="134"/>
      <c r="D347" s="137" t="str">
        <f>IF($U347="Open Sale", IF(MAX($D$4:D346)+1=0, "", MAX($D$4:D346)+1), "")</f>
        <v/>
      </c>
      <c r="E347" s="137" t="str">
        <f>IF($U347="Pending Allocation", IF(MAX($E$4:E346)+1=0, "", MAX($E$4:E346)+1), "")</f>
        <v/>
      </c>
      <c r="F347" s="137"/>
      <c r="G347" s="137"/>
      <c r="H347" s="150"/>
      <c r="I347" s="150"/>
      <c r="J347" s="68" t="str">
        <f>IF(OpenPendingCases[[#This Row],[Timepiece Reference ]]="", "", IF(_xlfn.XLOOKUP(OpenPendingCases[[#This Row],[Timepiece Reference ]], Table1[[Timepiece Reference ]], Table1[CRC STOCK], "Not Found")="YES", "CRC Stock", "Boutique Stock"))</f>
        <v/>
      </c>
      <c r="K347" s="137" t="str">
        <f>IF(OpenPendingCases[[#This Row],[Timepiece Reference ]]="", "", IF(_xlfn.XLOOKUP(OpenPendingCases[[#This Row],[Timepiece Reference ]], Table1[[Timepiece Reference ]], Table1[CRC STOCK], "Not Found")="YES", "CRC Stock", "Boutique Stock"))</f>
        <v/>
      </c>
      <c r="L347" s="143"/>
      <c r="M347" s="141"/>
      <c r="N347" s="137"/>
      <c r="O347" s="134"/>
      <c r="P347" s="94" t="str">
        <f>IFERROR(VLOOKUP(TRIM(O347), Collection!$B$2:$D$1001, 2, FALSE), "")</f>
        <v/>
      </c>
      <c r="Q347" s="190" t="str">
        <f>IFERROR(VLOOKUP(TRIM(O347), Collection!$B$2:$D$1001, 3, FALSE), "")</f>
        <v/>
      </c>
      <c r="R347" s="153" t="str">
        <f t="shared" si="37"/>
        <v/>
      </c>
      <c r="S347" s="151"/>
      <c r="T347" s="158"/>
      <c r="U347" s="137"/>
      <c r="V347" s="137"/>
      <c r="W347" s="156" t="str">
        <f t="shared" si="41"/>
        <v/>
      </c>
      <c r="X347" s="157"/>
      <c r="Y347" s="158"/>
      <c r="Z347" s="158"/>
      <c r="AA347" s="137" t="str">
        <f t="shared" ca="1" si="42"/>
        <v/>
      </c>
      <c r="AB347" s="137" t="str">
        <f t="shared" ca="1" si="38"/>
        <v/>
      </c>
      <c r="AC347" s="160" t="str">
        <f t="shared" ca="1" si="39"/>
        <v/>
      </c>
      <c r="AD347" s="159" t="str">
        <f t="shared" ca="1" si="40"/>
        <v/>
      </c>
      <c r="AE347" s="161"/>
      <c r="AF347" s="161"/>
      <c r="AG347" s="161"/>
      <c r="AH347" s="137"/>
      <c r="AI347" s="164" t="str">
        <f t="shared" si="43"/>
        <v/>
      </c>
      <c r="AJ347" s="164" t="str">
        <f>IF(AND(OpenPendingCases[[#This Row],[Sale Status	]]="Open Sale",OpenPendingCases[[#This Row],[Potential Same Month]]="High"),TEXT(OpenPendingCases[[#This Row],[Request Entry Date]], "[$-en-us]mmmm"),"")</f>
        <v/>
      </c>
      <c r="AK347" s="165" t="str">
        <f>IFERROR(VALUE(SUBSTITUTE(OpenPendingCases[[#This Row],[Price]]," AED","")),"")</f>
        <v/>
      </c>
      <c r="AL347" s="165" t="str">
        <f>IFERROR(VALUE(LEFT(OpenPendingCases[[#This Row],[Price]],FIND(" ",OpenPendingCases[[#This Row],[Price]])-1)),"")</f>
        <v/>
      </c>
      <c r="AM347" s="165" t="str">
        <f>IFERROR(VALUE(_xlfn.TEXTBEFORE(OpenPendingCases[[#This Row],[Price]]," AED")),"")</f>
        <v/>
      </c>
      <c r="AN347" s="165"/>
    </row>
    <row r="348" spans="3:40" ht="18" hidden="1" x14ac:dyDescent="0.35">
      <c r="C348" s="134"/>
      <c r="D348" s="137" t="str">
        <f>IF($U348="Open Sale", IF(MAX($D$4:D347)+1=0, "", MAX($D$4:D347)+1), "")</f>
        <v/>
      </c>
      <c r="E348" s="137" t="str">
        <f>IF($U348="Pending Allocation", IF(MAX($E$4:E347)+1=0, "", MAX($E$4:E347)+1), "")</f>
        <v/>
      </c>
      <c r="F348" s="137"/>
      <c r="G348" s="137"/>
      <c r="H348" s="150"/>
      <c r="I348" s="150"/>
      <c r="J348" s="68" t="str">
        <f>IF(OpenPendingCases[[#This Row],[Timepiece Reference ]]="", "", IF(_xlfn.XLOOKUP(OpenPendingCases[[#This Row],[Timepiece Reference ]], Table1[[Timepiece Reference ]], Table1[CRC STOCK], "Not Found")="YES", "CRC Stock", "Boutique Stock"))</f>
        <v/>
      </c>
      <c r="K348" s="137" t="str">
        <f>IF(OpenPendingCases[[#This Row],[Timepiece Reference ]]="", "", IF(_xlfn.XLOOKUP(OpenPendingCases[[#This Row],[Timepiece Reference ]], Table1[[Timepiece Reference ]], Table1[CRC STOCK], "Not Found")="YES", "CRC Stock", "Boutique Stock"))</f>
        <v/>
      </c>
      <c r="L348" s="143"/>
      <c r="M348" s="141"/>
      <c r="N348" s="137"/>
      <c r="O348" s="134"/>
      <c r="P348" s="94" t="str">
        <f>IFERROR(VLOOKUP(TRIM(O348), Collection!$B$2:$D$1001, 2, FALSE), "")</f>
        <v/>
      </c>
      <c r="Q348" s="190" t="str">
        <f>IFERROR(VLOOKUP(TRIM(O348), Collection!$B$2:$D$1001, 3, FALSE), "")</f>
        <v/>
      </c>
      <c r="R348" s="153" t="str">
        <f t="shared" si="37"/>
        <v/>
      </c>
      <c r="S348" s="151"/>
      <c r="T348" s="158"/>
      <c r="U348" s="137"/>
      <c r="V348" s="137"/>
      <c r="W348" s="156" t="str">
        <f t="shared" si="41"/>
        <v/>
      </c>
      <c r="X348" s="157"/>
      <c r="Y348" s="158"/>
      <c r="Z348" s="158"/>
      <c r="AA348" s="137" t="str">
        <f t="shared" ca="1" si="42"/>
        <v/>
      </c>
      <c r="AB348" s="137" t="str">
        <f t="shared" ca="1" si="38"/>
        <v/>
      </c>
      <c r="AC348" s="160" t="str">
        <f t="shared" ca="1" si="39"/>
        <v/>
      </c>
      <c r="AD348" s="159" t="str">
        <f t="shared" ca="1" si="40"/>
        <v/>
      </c>
      <c r="AE348" s="161"/>
      <c r="AF348" s="161"/>
      <c r="AG348" s="161"/>
      <c r="AH348" s="137"/>
      <c r="AI348" s="164" t="str">
        <f t="shared" si="43"/>
        <v/>
      </c>
      <c r="AJ348" s="164" t="str">
        <f>IF(AND(OpenPendingCases[[#This Row],[Sale Status	]]="Open Sale",OpenPendingCases[[#This Row],[Potential Same Month]]="High"),TEXT(OpenPendingCases[[#This Row],[Request Entry Date]], "[$-en-us]mmmm"),"")</f>
        <v/>
      </c>
      <c r="AK348" s="165" t="str">
        <f>IFERROR(VALUE(SUBSTITUTE(OpenPendingCases[[#This Row],[Price]]," AED","")),"")</f>
        <v/>
      </c>
      <c r="AL348" s="165" t="str">
        <f>IFERROR(VALUE(LEFT(OpenPendingCases[[#This Row],[Price]],FIND(" ",OpenPendingCases[[#This Row],[Price]])-1)),"")</f>
        <v/>
      </c>
      <c r="AM348" s="165" t="str">
        <f>IFERROR(VALUE(_xlfn.TEXTBEFORE(OpenPendingCases[[#This Row],[Price]]," AED")),"")</f>
        <v/>
      </c>
      <c r="AN348" s="165"/>
    </row>
    <row r="349" spans="3:40" ht="18" hidden="1" x14ac:dyDescent="0.35">
      <c r="C349" s="134"/>
      <c r="D349" s="137" t="str">
        <f>IF($U349="Open Sale", IF(MAX($D$4:D348)+1=0, "", MAX($D$4:D348)+1), "")</f>
        <v/>
      </c>
      <c r="E349" s="137" t="str">
        <f>IF($U349="Pending Allocation", IF(MAX($E$4:E348)+1=0, "", MAX($E$4:E348)+1), "")</f>
        <v/>
      </c>
      <c r="F349" s="137"/>
      <c r="G349" s="137"/>
      <c r="H349" s="150"/>
      <c r="I349" s="150"/>
      <c r="J349" s="68" t="str">
        <f>IF(OpenPendingCases[[#This Row],[Timepiece Reference ]]="", "", IF(_xlfn.XLOOKUP(OpenPendingCases[[#This Row],[Timepiece Reference ]], Table1[[Timepiece Reference ]], Table1[CRC STOCK], "Not Found")="YES", "CRC Stock", "Boutique Stock"))</f>
        <v/>
      </c>
      <c r="K349" s="137" t="str">
        <f>IF(OpenPendingCases[[#This Row],[Timepiece Reference ]]="", "", IF(_xlfn.XLOOKUP(OpenPendingCases[[#This Row],[Timepiece Reference ]], Table1[[Timepiece Reference ]], Table1[CRC STOCK], "Not Found")="YES", "CRC Stock", "Boutique Stock"))</f>
        <v/>
      </c>
      <c r="L349" s="143"/>
      <c r="M349" s="141"/>
      <c r="N349" s="137"/>
      <c r="O349" s="134"/>
      <c r="P349" s="94" t="str">
        <f>IFERROR(VLOOKUP(TRIM(O349), Collection!$B$2:$D$1001, 2, FALSE), "")</f>
        <v/>
      </c>
      <c r="Q349" s="190" t="str">
        <f>IFERROR(VLOOKUP(TRIM(O349), Collection!$B$2:$D$1001, 3, FALSE), "")</f>
        <v/>
      </c>
      <c r="R349" s="153" t="str">
        <f t="shared" si="37"/>
        <v/>
      </c>
      <c r="S349" s="151"/>
      <c r="T349" s="158"/>
      <c r="U349" s="137"/>
      <c r="V349" s="137"/>
      <c r="W349" s="156" t="str">
        <f t="shared" si="41"/>
        <v/>
      </c>
      <c r="X349" s="157"/>
      <c r="Y349" s="158"/>
      <c r="Z349" s="158"/>
      <c r="AA349" s="137" t="str">
        <f t="shared" ca="1" si="42"/>
        <v/>
      </c>
      <c r="AB349" s="137" t="str">
        <f t="shared" ca="1" si="38"/>
        <v/>
      </c>
      <c r="AC349" s="160" t="str">
        <f t="shared" ca="1" si="39"/>
        <v/>
      </c>
      <c r="AD349" s="159" t="str">
        <f t="shared" ca="1" si="40"/>
        <v/>
      </c>
      <c r="AE349" s="161"/>
      <c r="AF349" s="161"/>
      <c r="AG349" s="161"/>
      <c r="AH349" s="137"/>
      <c r="AI349" s="164" t="str">
        <f t="shared" si="43"/>
        <v/>
      </c>
      <c r="AJ349" s="164" t="str">
        <f>IF(AND(OpenPendingCases[[#This Row],[Sale Status	]]="Open Sale",OpenPendingCases[[#This Row],[Potential Same Month]]="High"),TEXT(OpenPendingCases[[#This Row],[Request Entry Date]], "[$-en-us]mmmm"),"")</f>
        <v/>
      </c>
      <c r="AK349" s="165" t="str">
        <f>IFERROR(VALUE(SUBSTITUTE(OpenPendingCases[[#This Row],[Price]]," AED","")),"")</f>
        <v/>
      </c>
      <c r="AL349" s="165" t="str">
        <f>IFERROR(VALUE(LEFT(OpenPendingCases[[#This Row],[Price]],FIND(" ",OpenPendingCases[[#This Row],[Price]])-1)),"")</f>
        <v/>
      </c>
      <c r="AM349" s="165" t="str">
        <f>IFERROR(VALUE(_xlfn.TEXTBEFORE(OpenPendingCases[[#This Row],[Price]]," AED")),"")</f>
        <v/>
      </c>
      <c r="AN349" s="165"/>
    </row>
    <row r="350" spans="3:40" ht="18" hidden="1" x14ac:dyDescent="0.35">
      <c r="C350" s="134"/>
      <c r="D350" s="137" t="str">
        <f>IF($U350="Open Sale", IF(MAX($D$4:D349)+1=0, "", MAX($D$4:D349)+1), "")</f>
        <v/>
      </c>
      <c r="E350" s="137" t="str">
        <f>IF($U350="Pending Allocation", IF(MAX($E$4:E349)+1=0, "", MAX($E$4:E349)+1), "")</f>
        <v/>
      </c>
      <c r="F350" s="137"/>
      <c r="G350" s="137"/>
      <c r="H350" s="150"/>
      <c r="I350" s="150"/>
      <c r="J350" s="68" t="str">
        <f>IF(OpenPendingCases[[#This Row],[Timepiece Reference ]]="", "", IF(_xlfn.XLOOKUP(OpenPendingCases[[#This Row],[Timepiece Reference ]], Table1[[Timepiece Reference ]], Table1[CRC STOCK], "Not Found")="YES", "CRC Stock", "Boutique Stock"))</f>
        <v/>
      </c>
      <c r="K350" s="137" t="str">
        <f>IF(OpenPendingCases[[#This Row],[Timepiece Reference ]]="", "", IF(_xlfn.XLOOKUP(OpenPendingCases[[#This Row],[Timepiece Reference ]], Table1[[Timepiece Reference ]], Table1[CRC STOCK], "Not Found")="YES", "CRC Stock", "Boutique Stock"))</f>
        <v/>
      </c>
      <c r="L350" s="143"/>
      <c r="M350" s="141"/>
      <c r="N350" s="137"/>
      <c r="O350" s="134"/>
      <c r="P350" s="94" t="str">
        <f>IFERROR(VLOOKUP(TRIM(O350), Collection!$B$2:$D$1001, 2, FALSE), "")</f>
        <v/>
      </c>
      <c r="Q350" s="190" t="str">
        <f>IFERROR(VLOOKUP(TRIM(O350), Collection!$B$2:$D$1001, 3, FALSE), "")</f>
        <v/>
      </c>
      <c r="R350" s="153" t="str">
        <f t="shared" si="37"/>
        <v/>
      </c>
      <c r="S350" s="151"/>
      <c r="T350" s="158"/>
      <c r="U350" s="137"/>
      <c r="V350" s="137"/>
      <c r="W350" s="156" t="str">
        <f t="shared" si="41"/>
        <v/>
      </c>
      <c r="X350" s="157"/>
      <c r="Y350" s="158"/>
      <c r="Z350" s="158"/>
      <c r="AA350" s="137" t="str">
        <f t="shared" ca="1" si="42"/>
        <v/>
      </c>
      <c r="AB350" s="137" t="str">
        <f t="shared" ca="1" si="38"/>
        <v/>
      </c>
      <c r="AC350" s="160" t="str">
        <f t="shared" ca="1" si="39"/>
        <v/>
      </c>
      <c r="AD350" s="159" t="str">
        <f t="shared" ca="1" si="40"/>
        <v/>
      </c>
      <c r="AE350" s="161"/>
      <c r="AF350" s="161"/>
      <c r="AG350" s="161"/>
      <c r="AH350" s="137"/>
      <c r="AI350" s="164" t="str">
        <f t="shared" si="43"/>
        <v/>
      </c>
      <c r="AJ350" s="164" t="str">
        <f>IF(AND(OpenPendingCases[[#This Row],[Sale Status	]]="Open Sale",OpenPendingCases[[#This Row],[Potential Same Month]]="High"),TEXT(OpenPendingCases[[#This Row],[Request Entry Date]], "[$-en-us]mmmm"),"")</f>
        <v/>
      </c>
      <c r="AK350" s="165" t="str">
        <f>IFERROR(VALUE(SUBSTITUTE(OpenPendingCases[[#This Row],[Price]]," AED","")),"")</f>
        <v/>
      </c>
      <c r="AL350" s="165" t="str">
        <f>IFERROR(VALUE(LEFT(OpenPendingCases[[#This Row],[Price]],FIND(" ",OpenPendingCases[[#This Row],[Price]])-1)),"")</f>
        <v/>
      </c>
      <c r="AM350" s="165" t="str">
        <f>IFERROR(VALUE(_xlfn.TEXTBEFORE(OpenPendingCases[[#This Row],[Price]]," AED")),"")</f>
        <v/>
      </c>
      <c r="AN350" s="165"/>
    </row>
    <row r="351" spans="3:40" ht="18" hidden="1" x14ac:dyDescent="0.35">
      <c r="C351" s="134"/>
      <c r="D351" s="137" t="str">
        <f>IF($U351="Open Sale", IF(MAX($D$4:D350)+1=0, "", MAX($D$4:D350)+1), "")</f>
        <v/>
      </c>
      <c r="E351" s="137" t="str">
        <f>IF($U351="Pending Allocation", IF(MAX($E$4:E350)+1=0, "", MAX($E$4:E350)+1), "")</f>
        <v/>
      </c>
      <c r="F351" s="137"/>
      <c r="G351" s="137"/>
      <c r="H351" s="150"/>
      <c r="I351" s="150"/>
      <c r="J351" s="68" t="str">
        <f>IF(OpenPendingCases[[#This Row],[Timepiece Reference ]]="", "", IF(_xlfn.XLOOKUP(OpenPendingCases[[#This Row],[Timepiece Reference ]], Table1[[Timepiece Reference ]], Table1[CRC STOCK], "Not Found")="YES", "CRC Stock", "Boutique Stock"))</f>
        <v/>
      </c>
      <c r="K351" s="137" t="str">
        <f>IF(OpenPendingCases[[#This Row],[Timepiece Reference ]]="", "", IF(_xlfn.XLOOKUP(OpenPendingCases[[#This Row],[Timepiece Reference ]], Table1[[Timepiece Reference ]], Table1[CRC STOCK], "Not Found")="YES", "CRC Stock", "Boutique Stock"))</f>
        <v/>
      </c>
      <c r="L351" s="143"/>
      <c r="M351" s="141"/>
      <c r="N351" s="137"/>
      <c r="O351" s="134"/>
      <c r="P351" s="94" t="str">
        <f>IFERROR(VLOOKUP(TRIM(O351), Collection!$B$2:$D$1001, 2, FALSE), "")</f>
        <v/>
      </c>
      <c r="Q351" s="190" t="str">
        <f>IFERROR(VLOOKUP(TRIM(O351), Collection!$B$2:$D$1001, 3, FALSE), "")</f>
        <v/>
      </c>
      <c r="R351" s="153" t="str">
        <f t="shared" si="37"/>
        <v/>
      </c>
      <c r="S351" s="151"/>
      <c r="T351" s="158"/>
      <c r="U351" s="137"/>
      <c r="V351" s="137"/>
      <c r="W351" s="156" t="str">
        <f t="shared" si="41"/>
        <v/>
      </c>
      <c r="X351" s="157"/>
      <c r="Y351" s="158"/>
      <c r="Z351" s="158"/>
      <c r="AA351" s="137" t="str">
        <f t="shared" ca="1" si="42"/>
        <v/>
      </c>
      <c r="AB351" s="137" t="str">
        <f t="shared" ca="1" si="38"/>
        <v/>
      </c>
      <c r="AC351" s="160" t="str">
        <f t="shared" ca="1" si="39"/>
        <v/>
      </c>
      <c r="AD351" s="159" t="str">
        <f t="shared" ca="1" si="40"/>
        <v/>
      </c>
      <c r="AE351" s="161"/>
      <c r="AF351" s="161"/>
      <c r="AG351" s="161"/>
      <c r="AH351" s="137"/>
      <c r="AI351" s="164" t="str">
        <f t="shared" si="43"/>
        <v/>
      </c>
      <c r="AJ351" s="164" t="str">
        <f>IF(AND(OpenPendingCases[[#This Row],[Sale Status	]]="Open Sale",OpenPendingCases[[#This Row],[Potential Same Month]]="High"),TEXT(OpenPendingCases[[#This Row],[Request Entry Date]], "[$-en-us]mmmm"),"")</f>
        <v/>
      </c>
      <c r="AK351" s="165" t="str">
        <f>IFERROR(VALUE(SUBSTITUTE(OpenPendingCases[[#This Row],[Price]]," AED","")),"")</f>
        <v/>
      </c>
      <c r="AL351" s="165" t="str">
        <f>IFERROR(VALUE(LEFT(OpenPendingCases[[#This Row],[Price]],FIND(" ",OpenPendingCases[[#This Row],[Price]])-1)),"")</f>
        <v/>
      </c>
      <c r="AM351" s="165" t="str">
        <f>IFERROR(VALUE(_xlfn.TEXTBEFORE(OpenPendingCases[[#This Row],[Price]]," AED")),"")</f>
        <v/>
      </c>
      <c r="AN351" s="165"/>
    </row>
    <row r="352" spans="3:40" ht="18" hidden="1" x14ac:dyDescent="0.35">
      <c r="C352" s="134"/>
      <c r="D352" s="137" t="str">
        <f>IF($U352="Open Sale", IF(MAX($D$4:D351)+1=0, "", MAX($D$4:D351)+1), "")</f>
        <v/>
      </c>
      <c r="E352" s="137" t="str">
        <f>IF($U352="Pending Allocation", IF(MAX($E$4:E351)+1=0, "", MAX($E$4:E351)+1), "")</f>
        <v/>
      </c>
      <c r="F352" s="137"/>
      <c r="G352" s="137"/>
      <c r="H352" s="150"/>
      <c r="I352" s="150"/>
      <c r="J352" s="68" t="str">
        <f>IF(OpenPendingCases[[#This Row],[Timepiece Reference ]]="", "", IF(_xlfn.XLOOKUP(OpenPendingCases[[#This Row],[Timepiece Reference ]], Table1[[Timepiece Reference ]], Table1[CRC STOCK], "Not Found")="YES", "CRC Stock", "Boutique Stock"))</f>
        <v/>
      </c>
      <c r="K352" s="137" t="str">
        <f>IF(OpenPendingCases[[#This Row],[Timepiece Reference ]]="", "", IF(_xlfn.XLOOKUP(OpenPendingCases[[#This Row],[Timepiece Reference ]], Table1[[Timepiece Reference ]], Table1[CRC STOCK], "Not Found")="YES", "CRC Stock", "Boutique Stock"))</f>
        <v/>
      </c>
      <c r="L352" s="143"/>
      <c r="M352" s="141"/>
      <c r="N352" s="137"/>
      <c r="O352" s="134"/>
      <c r="P352" s="94" t="str">
        <f>IFERROR(VLOOKUP(TRIM(O352), Collection!$B$2:$D$1001, 2, FALSE), "")</f>
        <v/>
      </c>
      <c r="Q352" s="190" t="str">
        <f>IFERROR(VLOOKUP(TRIM(O352), Collection!$B$2:$D$1001, 3, FALSE), "")</f>
        <v/>
      </c>
      <c r="R352" s="153" t="str">
        <f t="shared" si="37"/>
        <v/>
      </c>
      <c r="S352" s="151"/>
      <c r="T352" s="158"/>
      <c r="U352" s="137"/>
      <c r="V352" s="137"/>
      <c r="W352" s="156" t="str">
        <f t="shared" si="41"/>
        <v/>
      </c>
      <c r="X352" s="157"/>
      <c r="Y352" s="158"/>
      <c r="Z352" s="158"/>
      <c r="AA352" s="137" t="str">
        <f t="shared" ca="1" si="42"/>
        <v/>
      </c>
      <c r="AB352" s="137" t="str">
        <f t="shared" ca="1" si="38"/>
        <v/>
      </c>
      <c r="AC352" s="160" t="str">
        <f t="shared" ca="1" si="39"/>
        <v/>
      </c>
      <c r="AD352" s="159" t="str">
        <f t="shared" ca="1" si="40"/>
        <v/>
      </c>
      <c r="AE352" s="161"/>
      <c r="AF352" s="161"/>
      <c r="AG352" s="161"/>
      <c r="AH352" s="137"/>
      <c r="AI352" s="164" t="str">
        <f t="shared" si="43"/>
        <v/>
      </c>
      <c r="AJ352" s="164" t="str">
        <f>IF(AND(OpenPendingCases[[#This Row],[Sale Status	]]="Open Sale",OpenPendingCases[[#This Row],[Potential Same Month]]="High"),TEXT(OpenPendingCases[[#This Row],[Request Entry Date]], "[$-en-us]mmmm"),"")</f>
        <v/>
      </c>
      <c r="AK352" s="165" t="str">
        <f>IFERROR(VALUE(SUBSTITUTE(OpenPendingCases[[#This Row],[Price]]," AED","")),"")</f>
        <v/>
      </c>
      <c r="AL352" s="165" t="str">
        <f>IFERROR(VALUE(LEFT(OpenPendingCases[[#This Row],[Price]],FIND(" ",OpenPendingCases[[#This Row],[Price]])-1)),"")</f>
        <v/>
      </c>
      <c r="AM352" s="165" t="str">
        <f>IFERROR(VALUE(_xlfn.TEXTBEFORE(OpenPendingCases[[#This Row],[Price]]," AED")),"")</f>
        <v/>
      </c>
      <c r="AN352" s="165"/>
    </row>
    <row r="353" spans="3:40" ht="18" hidden="1" x14ac:dyDescent="0.35">
      <c r="C353" s="134"/>
      <c r="D353" s="137" t="str">
        <f>IF($U353="Open Sale", IF(MAX($D$4:D352)+1=0, "", MAX($D$4:D352)+1), "")</f>
        <v/>
      </c>
      <c r="E353" s="137" t="str">
        <f>IF($U353="Pending Allocation", IF(MAX($E$4:E352)+1=0, "", MAX($E$4:E352)+1), "")</f>
        <v/>
      </c>
      <c r="F353" s="137"/>
      <c r="G353" s="137"/>
      <c r="H353" s="150"/>
      <c r="I353" s="150"/>
      <c r="J353" s="68" t="str">
        <f>IF(OpenPendingCases[[#This Row],[Timepiece Reference ]]="", "", IF(_xlfn.XLOOKUP(OpenPendingCases[[#This Row],[Timepiece Reference ]], Table1[[Timepiece Reference ]], Table1[CRC STOCK], "Not Found")="YES", "CRC Stock", "Boutique Stock"))</f>
        <v/>
      </c>
      <c r="K353" s="137" t="str">
        <f>IF(OpenPendingCases[[#This Row],[Timepiece Reference ]]="", "", IF(_xlfn.XLOOKUP(OpenPendingCases[[#This Row],[Timepiece Reference ]], Table1[[Timepiece Reference ]], Table1[CRC STOCK], "Not Found")="YES", "CRC Stock", "Boutique Stock"))</f>
        <v/>
      </c>
      <c r="L353" s="143"/>
      <c r="M353" s="141"/>
      <c r="N353" s="137"/>
      <c r="O353" s="134"/>
      <c r="P353" s="94" t="str">
        <f>IFERROR(VLOOKUP(TRIM(O353), Collection!$B$2:$D$1001, 2, FALSE), "")</f>
        <v/>
      </c>
      <c r="Q353" s="190" t="str">
        <f>IFERROR(VLOOKUP(TRIM(O353), Collection!$B$2:$D$1001, 3, FALSE), "")</f>
        <v/>
      </c>
      <c r="R353" s="153" t="str">
        <f t="shared" si="37"/>
        <v/>
      </c>
      <c r="S353" s="151"/>
      <c r="T353" s="158"/>
      <c r="U353" s="137"/>
      <c r="V353" s="137"/>
      <c r="W353" s="156" t="str">
        <f t="shared" si="41"/>
        <v/>
      </c>
      <c r="X353" s="157"/>
      <c r="Y353" s="158"/>
      <c r="Z353" s="158"/>
      <c r="AA353" s="137" t="str">
        <f t="shared" ca="1" si="42"/>
        <v/>
      </c>
      <c r="AB353" s="137" t="str">
        <f t="shared" ca="1" si="38"/>
        <v/>
      </c>
      <c r="AC353" s="160" t="str">
        <f t="shared" ca="1" si="39"/>
        <v/>
      </c>
      <c r="AD353" s="159" t="str">
        <f t="shared" ca="1" si="40"/>
        <v/>
      </c>
      <c r="AE353" s="161"/>
      <c r="AF353" s="161"/>
      <c r="AG353" s="161"/>
      <c r="AH353" s="137"/>
      <c r="AI353" s="164" t="str">
        <f t="shared" si="43"/>
        <v/>
      </c>
      <c r="AJ353" s="164" t="str">
        <f>IF(AND(OpenPendingCases[[#This Row],[Sale Status	]]="Open Sale",OpenPendingCases[[#This Row],[Potential Same Month]]="High"),TEXT(OpenPendingCases[[#This Row],[Request Entry Date]], "[$-en-us]mmmm"),"")</f>
        <v/>
      </c>
      <c r="AK353" s="165" t="str">
        <f>IFERROR(VALUE(SUBSTITUTE(OpenPendingCases[[#This Row],[Price]]," AED","")),"")</f>
        <v/>
      </c>
      <c r="AL353" s="165" t="str">
        <f>IFERROR(VALUE(LEFT(OpenPendingCases[[#This Row],[Price]],FIND(" ",OpenPendingCases[[#This Row],[Price]])-1)),"")</f>
        <v/>
      </c>
      <c r="AM353" s="165" t="str">
        <f>IFERROR(VALUE(_xlfn.TEXTBEFORE(OpenPendingCases[[#This Row],[Price]]," AED")),"")</f>
        <v/>
      </c>
      <c r="AN353" s="165"/>
    </row>
    <row r="354" spans="3:40" ht="18" hidden="1" x14ac:dyDescent="0.35">
      <c r="C354" s="134"/>
      <c r="D354" s="137" t="str">
        <f>IF($U354="Open Sale", IF(MAX($D$4:D353)+1=0, "", MAX($D$4:D353)+1), "")</f>
        <v/>
      </c>
      <c r="E354" s="137" t="str">
        <f>IF($U354="Pending Allocation", IF(MAX($E$4:E353)+1=0, "", MAX($E$4:E353)+1), "")</f>
        <v/>
      </c>
      <c r="F354" s="137"/>
      <c r="G354" s="137"/>
      <c r="H354" s="150"/>
      <c r="I354" s="150"/>
      <c r="J354" s="68" t="str">
        <f>IF(OpenPendingCases[[#This Row],[Timepiece Reference ]]="", "", IF(_xlfn.XLOOKUP(OpenPendingCases[[#This Row],[Timepiece Reference ]], Table1[[Timepiece Reference ]], Table1[CRC STOCK], "Not Found")="YES", "CRC Stock", "Boutique Stock"))</f>
        <v/>
      </c>
      <c r="K354" s="137" t="str">
        <f>IF(OpenPendingCases[[#This Row],[Timepiece Reference ]]="", "", IF(_xlfn.XLOOKUP(OpenPendingCases[[#This Row],[Timepiece Reference ]], Table1[[Timepiece Reference ]], Table1[CRC STOCK], "Not Found")="YES", "CRC Stock", "Boutique Stock"))</f>
        <v/>
      </c>
      <c r="L354" s="143"/>
      <c r="M354" s="141"/>
      <c r="N354" s="137"/>
      <c r="O354" s="134"/>
      <c r="P354" s="94" t="str">
        <f>IFERROR(VLOOKUP(TRIM(O354), Collection!$B$2:$D$1001, 2, FALSE), "")</f>
        <v/>
      </c>
      <c r="Q354" s="190" t="str">
        <f>IFERROR(VLOOKUP(TRIM(O354), Collection!$B$2:$D$1001, 3, FALSE), "")</f>
        <v/>
      </c>
      <c r="R354" s="153" t="str">
        <f t="shared" si="37"/>
        <v/>
      </c>
      <c r="S354" s="151"/>
      <c r="T354" s="158"/>
      <c r="U354" s="137"/>
      <c r="V354" s="137"/>
      <c r="W354" s="156" t="str">
        <f t="shared" si="41"/>
        <v/>
      </c>
      <c r="X354" s="157"/>
      <c r="Y354" s="158"/>
      <c r="Z354" s="158"/>
      <c r="AA354" s="137" t="str">
        <f t="shared" ca="1" si="42"/>
        <v/>
      </c>
      <c r="AB354" s="137" t="str">
        <f t="shared" ca="1" si="38"/>
        <v/>
      </c>
      <c r="AC354" s="160" t="str">
        <f t="shared" ca="1" si="39"/>
        <v/>
      </c>
      <c r="AD354" s="159" t="str">
        <f t="shared" ca="1" si="40"/>
        <v/>
      </c>
      <c r="AE354" s="161"/>
      <c r="AF354" s="161"/>
      <c r="AG354" s="161"/>
      <c r="AH354" s="137"/>
      <c r="AI354" s="164" t="str">
        <f t="shared" si="43"/>
        <v/>
      </c>
      <c r="AJ354" s="164" t="str">
        <f>IF(AND(OpenPendingCases[[#This Row],[Sale Status	]]="Open Sale",OpenPendingCases[[#This Row],[Potential Same Month]]="High"),TEXT(OpenPendingCases[[#This Row],[Request Entry Date]], "[$-en-us]mmmm"),"")</f>
        <v/>
      </c>
      <c r="AK354" s="165" t="str">
        <f>IFERROR(VALUE(SUBSTITUTE(OpenPendingCases[[#This Row],[Price]]," AED","")),"")</f>
        <v/>
      </c>
      <c r="AL354" s="165" t="str">
        <f>IFERROR(VALUE(LEFT(OpenPendingCases[[#This Row],[Price]],FIND(" ",OpenPendingCases[[#This Row],[Price]])-1)),"")</f>
        <v/>
      </c>
      <c r="AM354" s="165" t="str">
        <f>IFERROR(VALUE(_xlfn.TEXTBEFORE(OpenPendingCases[[#This Row],[Price]]," AED")),"")</f>
        <v/>
      </c>
      <c r="AN354" s="165"/>
    </row>
    <row r="355" spans="3:40" ht="18" hidden="1" x14ac:dyDescent="0.35">
      <c r="C355" s="134"/>
      <c r="D355" s="137" t="str">
        <f>IF($U355="Open Sale", IF(MAX($D$4:D354)+1=0, "", MAX($D$4:D354)+1), "")</f>
        <v/>
      </c>
      <c r="E355" s="137" t="str">
        <f>IF($U355="Pending Allocation", IF(MAX($E$4:E354)+1=0, "", MAX($E$4:E354)+1), "")</f>
        <v/>
      </c>
      <c r="F355" s="137"/>
      <c r="G355" s="137"/>
      <c r="H355" s="150"/>
      <c r="I355" s="150"/>
      <c r="J355" s="68" t="str">
        <f>IF(OpenPendingCases[[#This Row],[Timepiece Reference ]]="", "", IF(_xlfn.XLOOKUP(OpenPendingCases[[#This Row],[Timepiece Reference ]], Table1[[Timepiece Reference ]], Table1[CRC STOCK], "Not Found")="YES", "CRC Stock", "Boutique Stock"))</f>
        <v/>
      </c>
      <c r="K355" s="137" t="str">
        <f>IF(OpenPendingCases[[#This Row],[Timepiece Reference ]]="", "", IF(_xlfn.XLOOKUP(OpenPendingCases[[#This Row],[Timepiece Reference ]], Table1[[Timepiece Reference ]], Table1[CRC STOCK], "Not Found")="YES", "CRC Stock", "Boutique Stock"))</f>
        <v/>
      </c>
      <c r="L355" s="143"/>
      <c r="M355" s="141"/>
      <c r="N355" s="137"/>
      <c r="O355" s="134"/>
      <c r="P355" s="94" t="str">
        <f>IFERROR(VLOOKUP(TRIM(O355), Collection!$B$2:$D$1001, 2, FALSE), "")</f>
        <v/>
      </c>
      <c r="Q355" s="190" t="str">
        <f>IFERROR(VLOOKUP(TRIM(O355), Collection!$B$2:$D$1001, 3, FALSE), "")</f>
        <v/>
      </c>
      <c r="R355" s="153" t="str">
        <f t="shared" si="37"/>
        <v/>
      </c>
      <c r="S355" s="151"/>
      <c r="T355" s="158"/>
      <c r="U355" s="137"/>
      <c r="V355" s="137"/>
      <c r="W355" s="156" t="str">
        <f t="shared" si="41"/>
        <v/>
      </c>
      <c r="X355" s="157"/>
      <c r="Y355" s="158"/>
      <c r="Z355" s="158"/>
      <c r="AA355" s="137" t="str">
        <f t="shared" ca="1" si="42"/>
        <v/>
      </c>
      <c r="AB355" s="137" t="str">
        <f t="shared" ca="1" si="38"/>
        <v/>
      </c>
      <c r="AC355" s="160" t="str">
        <f t="shared" ca="1" si="39"/>
        <v/>
      </c>
      <c r="AD355" s="159" t="str">
        <f t="shared" ca="1" si="40"/>
        <v/>
      </c>
      <c r="AE355" s="161"/>
      <c r="AF355" s="161"/>
      <c r="AG355" s="161"/>
      <c r="AH355" s="137"/>
      <c r="AI355" s="164" t="str">
        <f t="shared" si="43"/>
        <v/>
      </c>
      <c r="AJ355" s="164" t="str">
        <f>IF(AND(OpenPendingCases[[#This Row],[Sale Status	]]="Open Sale",OpenPendingCases[[#This Row],[Potential Same Month]]="High"),TEXT(OpenPendingCases[[#This Row],[Request Entry Date]], "[$-en-us]mmmm"),"")</f>
        <v/>
      </c>
      <c r="AK355" s="165" t="str">
        <f>IFERROR(VALUE(SUBSTITUTE(OpenPendingCases[[#This Row],[Price]]," AED","")),"")</f>
        <v/>
      </c>
      <c r="AL355" s="165" t="str">
        <f>IFERROR(VALUE(LEFT(OpenPendingCases[[#This Row],[Price]],FIND(" ",OpenPendingCases[[#This Row],[Price]])-1)),"")</f>
        <v/>
      </c>
      <c r="AM355" s="165" t="str">
        <f>IFERROR(VALUE(_xlfn.TEXTBEFORE(OpenPendingCases[[#This Row],[Price]]," AED")),"")</f>
        <v/>
      </c>
      <c r="AN355" s="165"/>
    </row>
    <row r="356" spans="3:40" ht="18" hidden="1" x14ac:dyDescent="0.35">
      <c r="C356" s="134"/>
      <c r="D356" s="137" t="str">
        <f>IF($U356="Open Sale", IF(MAX($D$4:D355)+1=0, "", MAX($D$4:D355)+1), "")</f>
        <v/>
      </c>
      <c r="E356" s="137" t="str">
        <f>IF($U356="Pending Allocation", IF(MAX($E$4:E355)+1=0, "", MAX($E$4:E355)+1), "")</f>
        <v/>
      </c>
      <c r="F356" s="137"/>
      <c r="G356" s="137"/>
      <c r="H356" s="150"/>
      <c r="I356" s="150"/>
      <c r="J356" s="68" t="str">
        <f>IF(OpenPendingCases[[#This Row],[Timepiece Reference ]]="", "", IF(_xlfn.XLOOKUP(OpenPendingCases[[#This Row],[Timepiece Reference ]], Table1[[Timepiece Reference ]], Table1[CRC STOCK], "Not Found")="YES", "CRC Stock", "Boutique Stock"))</f>
        <v/>
      </c>
      <c r="K356" s="137" t="str">
        <f>IF(OpenPendingCases[[#This Row],[Timepiece Reference ]]="", "", IF(_xlfn.XLOOKUP(OpenPendingCases[[#This Row],[Timepiece Reference ]], Table1[[Timepiece Reference ]], Table1[CRC STOCK], "Not Found")="YES", "CRC Stock", "Boutique Stock"))</f>
        <v/>
      </c>
      <c r="L356" s="143"/>
      <c r="M356" s="141"/>
      <c r="N356" s="137"/>
      <c r="O356" s="134"/>
      <c r="P356" s="94" t="str">
        <f>IFERROR(VLOOKUP(TRIM(O356), Collection!$B$2:$D$1001, 2, FALSE), "")</f>
        <v/>
      </c>
      <c r="Q356" s="190" t="str">
        <f>IFERROR(VLOOKUP(TRIM(O356), Collection!$B$2:$D$1001, 3, FALSE), "")</f>
        <v/>
      </c>
      <c r="R356" s="153" t="str">
        <f t="shared" si="37"/>
        <v/>
      </c>
      <c r="S356" s="151"/>
      <c r="T356" s="158"/>
      <c r="U356" s="137"/>
      <c r="V356" s="137"/>
      <c r="W356" s="156" t="str">
        <f t="shared" si="41"/>
        <v/>
      </c>
      <c r="X356" s="157"/>
      <c r="Y356" s="158"/>
      <c r="Z356" s="158"/>
      <c r="AA356" s="137" t="str">
        <f t="shared" ca="1" si="42"/>
        <v/>
      </c>
      <c r="AB356" s="137" t="str">
        <f t="shared" ca="1" si="38"/>
        <v/>
      </c>
      <c r="AC356" s="160" t="str">
        <f t="shared" ca="1" si="39"/>
        <v/>
      </c>
      <c r="AD356" s="159" t="str">
        <f t="shared" ca="1" si="40"/>
        <v/>
      </c>
      <c r="AE356" s="161"/>
      <c r="AF356" s="161"/>
      <c r="AG356" s="161"/>
      <c r="AH356" s="137"/>
      <c r="AI356" s="164" t="str">
        <f t="shared" si="43"/>
        <v/>
      </c>
      <c r="AJ356" s="164" t="str">
        <f>IF(AND(OpenPendingCases[[#This Row],[Sale Status	]]="Open Sale",OpenPendingCases[[#This Row],[Potential Same Month]]="High"),TEXT(OpenPendingCases[[#This Row],[Request Entry Date]], "[$-en-us]mmmm"),"")</f>
        <v/>
      </c>
      <c r="AK356" s="165" t="str">
        <f>IFERROR(VALUE(SUBSTITUTE(OpenPendingCases[[#This Row],[Price]]," AED","")),"")</f>
        <v/>
      </c>
      <c r="AL356" s="165" t="str">
        <f>IFERROR(VALUE(LEFT(OpenPendingCases[[#This Row],[Price]],FIND(" ",OpenPendingCases[[#This Row],[Price]])-1)),"")</f>
        <v/>
      </c>
      <c r="AM356" s="165" t="str">
        <f>IFERROR(VALUE(_xlfn.TEXTBEFORE(OpenPendingCases[[#This Row],[Price]]," AED")),"")</f>
        <v/>
      </c>
      <c r="AN356" s="165"/>
    </row>
    <row r="357" spans="3:40" ht="18" hidden="1" x14ac:dyDescent="0.35">
      <c r="C357" s="134"/>
      <c r="D357" s="137" t="str">
        <f>IF($U357="Open Sale", IF(MAX($D$4:D356)+1=0, "", MAX($D$4:D356)+1), "")</f>
        <v/>
      </c>
      <c r="E357" s="137" t="str">
        <f>IF($U357="Pending Allocation", IF(MAX($E$4:E356)+1=0, "", MAX($E$4:E356)+1), "")</f>
        <v/>
      </c>
      <c r="F357" s="137"/>
      <c r="G357" s="137"/>
      <c r="H357" s="150"/>
      <c r="I357" s="150"/>
      <c r="J357" s="68" t="str">
        <f>IF(OpenPendingCases[[#This Row],[Timepiece Reference ]]="", "", IF(_xlfn.XLOOKUP(OpenPendingCases[[#This Row],[Timepiece Reference ]], Table1[[Timepiece Reference ]], Table1[CRC STOCK], "Not Found")="YES", "CRC Stock", "Boutique Stock"))</f>
        <v/>
      </c>
      <c r="K357" s="137" t="str">
        <f>IF(OpenPendingCases[[#This Row],[Timepiece Reference ]]="", "", IF(_xlfn.XLOOKUP(OpenPendingCases[[#This Row],[Timepiece Reference ]], Table1[[Timepiece Reference ]], Table1[CRC STOCK], "Not Found")="YES", "CRC Stock", "Boutique Stock"))</f>
        <v/>
      </c>
      <c r="L357" s="143"/>
      <c r="M357" s="141"/>
      <c r="N357" s="137"/>
      <c r="O357" s="134"/>
      <c r="P357" s="94" t="str">
        <f>IFERROR(VLOOKUP(TRIM(O357), Collection!$B$2:$D$1001, 2, FALSE), "")</f>
        <v/>
      </c>
      <c r="Q357" s="190" t="str">
        <f>IFERROR(VLOOKUP(TRIM(O357), Collection!$B$2:$D$1001, 3, FALSE), "")</f>
        <v/>
      </c>
      <c r="R357" s="153" t="str">
        <f t="shared" si="37"/>
        <v/>
      </c>
      <c r="S357" s="151"/>
      <c r="T357" s="158"/>
      <c r="U357" s="137"/>
      <c r="V357" s="137"/>
      <c r="W357" s="156" t="str">
        <f t="shared" si="41"/>
        <v/>
      </c>
      <c r="X357" s="157"/>
      <c r="Y357" s="158"/>
      <c r="Z357" s="158"/>
      <c r="AA357" s="137" t="str">
        <f t="shared" ca="1" si="42"/>
        <v/>
      </c>
      <c r="AB357" s="137" t="str">
        <f t="shared" ca="1" si="38"/>
        <v/>
      </c>
      <c r="AC357" s="160" t="str">
        <f t="shared" ca="1" si="39"/>
        <v/>
      </c>
      <c r="AD357" s="159" t="str">
        <f t="shared" ca="1" si="40"/>
        <v/>
      </c>
      <c r="AE357" s="161"/>
      <c r="AF357" s="161"/>
      <c r="AG357" s="161"/>
      <c r="AH357" s="137"/>
      <c r="AI357" s="164" t="str">
        <f t="shared" si="43"/>
        <v/>
      </c>
      <c r="AJ357" s="164" t="str">
        <f>IF(AND(OpenPendingCases[[#This Row],[Sale Status	]]="Open Sale",OpenPendingCases[[#This Row],[Potential Same Month]]="High"),TEXT(OpenPendingCases[[#This Row],[Request Entry Date]], "[$-en-us]mmmm"),"")</f>
        <v/>
      </c>
      <c r="AK357" s="165" t="str">
        <f>IFERROR(VALUE(SUBSTITUTE(OpenPendingCases[[#This Row],[Price]]," AED","")),"")</f>
        <v/>
      </c>
      <c r="AL357" s="165" t="str">
        <f>IFERROR(VALUE(LEFT(OpenPendingCases[[#This Row],[Price]],FIND(" ",OpenPendingCases[[#This Row],[Price]])-1)),"")</f>
        <v/>
      </c>
      <c r="AM357" s="165" t="str">
        <f>IFERROR(VALUE(_xlfn.TEXTBEFORE(OpenPendingCases[[#This Row],[Price]]," AED")),"")</f>
        <v/>
      </c>
      <c r="AN357" s="165"/>
    </row>
    <row r="358" spans="3:40" ht="18" hidden="1" x14ac:dyDescent="0.35">
      <c r="C358" s="134"/>
      <c r="D358" s="137" t="str">
        <f>IF($U358="Open Sale", IF(MAX($D$4:D357)+1=0, "", MAX($D$4:D357)+1), "")</f>
        <v/>
      </c>
      <c r="E358" s="137" t="str">
        <f>IF($U358="Pending Allocation", IF(MAX($E$4:E357)+1=0, "", MAX($E$4:E357)+1), "")</f>
        <v/>
      </c>
      <c r="F358" s="137"/>
      <c r="G358" s="137"/>
      <c r="H358" s="150"/>
      <c r="I358" s="150"/>
      <c r="J358" s="68" t="str">
        <f>IF(OpenPendingCases[[#This Row],[Timepiece Reference ]]="", "", IF(_xlfn.XLOOKUP(OpenPendingCases[[#This Row],[Timepiece Reference ]], Table1[[Timepiece Reference ]], Table1[CRC STOCK], "Not Found")="YES", "CRC Stock", "Boutique Stock"))</f>
        <v/>
      </c>
      <c r="K358" s="137" t="str">
        <f>IF(OpenPendingCases[[#This Row],[Timepiece Reference ]]="", "", IF(_xlfn.XLOOKUP(OpenPendingCases[[#This Row],[Timepiece Reference ]], Table1[[Timepiece Reference ]], Table1[CRC STOCK], "Not Found")="YES", "CRC Stock", "Boutique Stock"))</f>
        <v/>
      </c>
      <c r="L358" s="143"/>
      <c r="M358" s="141"/>
      <c r="N358" s="137"/>
      <c r="O358" s="134"/>
      <c r="P358" s="94" t="str">
        <f>IFERROR(VLOOKUP(TRIM(O358), Collection!$B$2:$D$1001, 2, FALSE), "")</f>
        <v/>
      </c>
      <c r="Q358" s="190" t="str">
        <f>IFERROR(VLOOKUP(TRIM(O358), Collection!$B$2:$D$1001, 3, FALSE), "")</f>
        <v/>
      </c>
      <c r="R358" s="153" t="str">
        <f t="shared" si="37"/>
        <v/>
      </c>
      <c r="S358" s="151"/>
      <c r="T358" s="158"/>
      <c r="U358" s="137"/>
      <c r="V358" s="137"/>
      <c r="W358" s="156" t="str">
        <f t="shared" si="41"/>
        <v/>
      </c>
      <c r="X358" s="157"/>
      <c r="Y358" s="158"/>
      <c r="Z358" s="158"/>
      <c r="AA358" s="137" t="str">
        <f t="shared" ca="1" si="42"/>
        <v/>
      </c>
      <c r="AB358" s="137" t="str">
        <f t="shared" ca="1" si="38"/>
        <v/>
      </c>
      <c r="AC358" s="160" t="str">
        <f t="shared" ca="1" si="39"/>
        <v/>
      </c>
      <c r="AD358" s="159" t="str">
        <f t="shared" ca="1" si="40"/>
        <v/>
      </c>
      <c r="AE358" s="161"/>
      <c r="AF358" s="161"/>
      <c r="AG358" s="161"/>
      <c r="AH358" s="137"/>
      <c r="AI358" s="164" t="str">
        <f t="shared" si="43"/>
        <v/>
      </c>
      <c r="AJ358" s="164" t="str">
        <f>IF(AND(OpenPendingCases[[#This Row],[Sale Status	]]="Open Sale",OpenPendingCases[[#This Row],[Potential Same Month]]="High"),TEXT(OpenPendingCases[[#This Row],[Request Entry Date]], "[$-en-us]mmmm"),"")</f>
        <v/>
      </c>
      <c r="AK358" s="165" t="str">
        <f>IFERROR(VALUE(SUBSTITUTE(OpenPendingCases[[#This Row],[Price]]," AED","")),"")</f>
        <v/>
      </c>
      <c r="AL358" s="165" t="str">
        <f>IFERROR(VALUE(LEFT(OpenPendingCases[[#This Row],[Price]],FIND(" ",OpenPendingCases[[#This Row],[Price]])-1)),"")</f>
        <v/>
      </c>
      <c r="AM358" s="165" t="str">
        <f>IFERROR(VALUE(_xlfn.TEXTBEFORE(OpenPendingCases[[#This Row],[Price]]," AED")),"")</f>
        <v/>
      </c>
      <c r="AN358" s="165"/>
    </row>
    <row r="359" spans="3:40" ht="18" hidden="1" x14ac:dyDescent="0.35">
      <c r="C359" s="134"/>
      <c r="D359" s="137" t="str">
        <f>IF($U359="Open Sale", IF(MAX($D$4:D358)+1=0, "", MAX($D$4:D358)+1), "")</f>
        <v/>
      </c>
      <c r="E359" s="137" t="str">
        <f>IF($U359="Pending Allocation", IF(MAX($E$4:E358)+1=0, "", MAX($E$4:E358)+1), "")</f>
        <v/>
      </c>
      <c r="F359" s="137"/>
      <c r="G359" s="137"/>
      <c r="H359" s="150"/>
      <c r="I359" s="150"/>
      <c r="J359" s="68" t="str">
        <f>IF(OpenPendingCases[[#This Row],[Timepiece Reference ]]="", "", IF(_xlfn.XLOOKUP(OpenPendingCases[[#This Row],[Timepiece Reference ]], Table1[[Timepiece Reference ]], Table1[CRC STOCK], "Not Found")="YES", "CRC Stock", "Boutique Stock"))</f>
        <v/>
      </c>
      <c r="K359" s="137" t="str">
        <f>IF(OpenPendingCases[[#This Row],[Timepiece Reference ]]="", "", IF(_xlfn.XLOOKUP(OpenPendingCases[[#This Row],[Timepiece Reference ]], Table1[[Timepiece Reference ]], Table1[CRC STOCK], "Not Found")="YES", "CRC Stock", "Boutique Stock"))</f>
        <v/>
      </c>
      <c r="L359" s="143"/>
      <c r="M359" s="141"/>
      <c r="N359" s="137"/>
      <c r="O359" s="134"/>
      <c r="P359" s="94" t="str">
        <f>IFERROR(VLOOKUP(TRIM(O359), Collection!$B$2:$D$1001, 2, FALSE), "")</f>
        <v/>
      </c>
      <c r="Q359" s="190" t="str">
        <f>IFERROR(VLOOKUP(TRIM(O359), Collection!$B$2:$D$1001, 3, FALSE), "")</f>
        <v/>
      </c>
      <c r="R359" s="153" t="str">
        <f t="shared" si="37"/>
        <v/>
      </c>
      <c r="S359" s="151"/>
      <c r="T359" s="158"/>
      <c r="U359" s="137"/>
      <c r="V359" s="137"/>
      <c r="W359" s="156" t="str">
        <f t="shared" si="41"/>
        <v/>
      </c>
      <c r="X359" s="157"/>
      <c r="Y359" s="158"/>
      <c r="Z359" s="158"/>
      <c r="AA359" s="137" t="str">
        <f t="shared" ca="1" si="42"/>
        <v/>
      </c>
      <c r="AB359" s="137" t="str">
        <f t="shared" ca="1" si="38"/>
        <v/>
      </c>
      <c r="AC359" s="160" t="str">
        <f t="shared" ca="1" si="39"/>
        <v/>
      </c>
      <c r="AD359" s="159" t="str">
        <f t="shared" ca="1" si="40"/>
        <v/>
      </c>
      <c r="AE359" s="161"/>
      <c r="AF359" s="161"/>
      <c r="AG359" s="161"/>
      <c r="AH359" s="137"/>
      <c r="AI359" s="164" t="str">
        <f t="shared" si="43"/>
        <v/>
      </c>
      <c r="AJ359" s="164" t="str">
        <f>IF(AND(OpenPendingCases[[#This Row],[Sale Status	]]="Open Sale",OpenPendingCases[[#This Row],[Potential Same Month]]="High"),TEXT(OpenPendingCases[[#This Row],[Request Entry Date]], "[$-en-us]mmmm"),"")</f>
        <v/>
      </c>
      <c r="AK359" s="165" t="str">
        <f>IFERROR(VALUE(SUBSTITUTE(OpenPendingCases[[#This Row],[Price]]," AED","")),"")</f>
        <v/>
      </c>
      <c r="AL359" s="165" t="str">
        <f>IFERROR(VALUE(LEFT(OpenPendingCases[[#This Row],[Price]],FIND(" ",OpenPendingCases[[#This Row],[Price]])-1)),"")</f>
        <v/>
      </c>
      <c r="AM359" s="165" t="str">
        <f>IFERROR(VALUE(_xlfn.TEXTBEFORE(OpenPendingCases[[#This Row],[Price]]," AED")),"")</f>
        <v/>
      </c>
      <c r="AN359" s="165"/>
    </row>
    <row r="360" spans="3:40" ht="18" hidden="1" x14ac:dyDescent="0.35">
      <c r="C360" s="134"/>
      <c r="D360" s="137" t="str">
        <f>IF($U360="Open Sale", IF(MAX($D$4:D359)+1=0, "", MAX($D$4:D359)+1), "")</f>
        <v/>
      </c>
      <c r="E360" s="137" t="str">
        <f>IF($U360="Pending Allocation", IF(MAX($E$4:E359)+1=0, "", MAX($E$4:E359)+1), "")</f>
        <v/>
      </c>
      <c r="F360" s="137"/>
      <c r="G360" s="137"/>
      <c r="H360" s="150"/>
      <c r="I360" s="150"/>
      <c r="J360" s="68" t="str">
        <f>IF(OpenPendingCases[[#This Row],[Timepiece Reference ]]="", "", IF(_xlfn.XLOOKUP(OpenPendingCases[[#This Row],[Timepiece Reference ]], Table1[[Timepiece Reference ]], Table1[CRC STOCK], "Not Found")="YES", "CRC Stock", "Boutique Stock"))</f>
        <v/>
      </c>
      <c r="K360" s="137" t="str">
        <f>IF(OpenPendingCases[[#This Row],[Timepiece Reference ]]="", "", IF(_xlfn.XLOOKUP(OpenPendingCases[[#This Row],[Timepiece Reference ]], Table1[[Timepiece Reference ]], Table1[CRC STOCK], "Not Found")="YES", "CRC Stock", "Boutique Stock"))</f>
        <v/>
      </c>
      <c r="L360" s="143"/>
      <c r="M360" s="141"/>
      <c r="N360" s="137"/>
      <c r="O360" s="134"/>
      <c r="P360" s="94" t="str">
        <f>IFERROR(VLOOKUP(TRIM(O360), Collection!$B$2:$D$1001, 2, FALSE), "")</f>
        <v/>
      </c>
      <c r="Q360" s="190" t="str">
        <f>IFERROR(VLOOKUP(TRIM(O360), Collection!$B$2:$D$1001, 3, FALSE), "")</f>
        <v/>
      </c>
      <c r="R360" s="153" t="str">
        <f t="shared" si="37"/>
        <v/>
      </c>
      <c r="S360" s="151"/>
      <c r="T360" s="158"/>
      <c r="U360" s="137"/>
      <c r="V360" s="137"/>
      <c r="W360" s="156" t="str">
        <f t="shared" si="41"/>
        <v/>
      </c>
      <c r="X360" s="157"/>
      <c r="Y360" s="158"/>
      <c r="Z360" s="158"/>
      <c r="AA360" s="137" t="str">
        <f t="shared" ca="1" si="42"/>
        <v/>
      </c>
      <c r="AB360" s="137" t="str">
        <f t="shared" ca="1" si="38"/>
        <v/>
      </c>
      <c r="AC360" s="160" t="str">
        <f t="shared" ca="1" si="39"/>
        <v/>
      </c>
      <c r="AD360" s="159" t="str">
        <f t="shared" ca="1" si="40"/>
        <v/>
      </c>
      <c r="AE360" s="161"/>
      <c r="AF360" s="161"/>
      <c r="AG360" s="161"/>
      <c r="AH360" s="137"/>
      <c r="AI360" s="164" t="str">
        <f t="shared" si="43"/>
        <v/>
      </c>
      <c r="AJ360" s="164" t="str">
        <f>IF(AND(OpenPendingCases[[#This Row],[Sale Status	]]="Open Sale",OpenPendingCases[[#This Row],[Potential Same Month]]="High"),TEXT(OpenPendingCases[[#This Row],[Request Entry Date]], "[$-en-us]mmmm"),"")</f>
        <v/>
      </c>
      <c r="AK360" s="165" t="str">
        <f>IFERROR(VALUE(SUBSTITUTE(OpenPendingCases[[#This Row],[Price]]," AED","")),"")</f>
        <v/>
      </c>
      <c r="AL360" s="165" t="str">
        <f>IFERROR(VALUE(LEFT(OpenPendingCases[[#This Row],[Price]],FIND(" ",OpenPendingCases[[#This Row],[Price]])-1)),"")</f>
        <v/>
      </c>
      <c r="AM360" s="165" t="str">
        <f>IFERROR(VALUE(_xlfn.TEXTBEFORE(OpenPendingCases[[#This Row],[Price]]," AED")),"")</f>
        <v/>
      </c>
      <c r="AN360" s="165"/>
    </row>
    <row r="361" spans="3:40" ht="18" hidden="1" x14ac:dyDescent="0.35">
      <c r="C361" s="134"/>
      <c r="D361" s="137" t="str">
        <f>IF($U361="Open Sale", IF(MAX($D$4:D360)+1=0, "", MAX($D$4:D360)+1), "")</f>
        <v/>
      </c>
      <c r="E361" s="137" t="str">
        <f>IF($U361="Pending Allocation", IF(MAX($E$4:E360)+1=0, "", MAX($E$4:E360)+1), "")</f>
        <v/>
      </c>
      <c r="F361" s="137"/>
      <c r="G361" s="137"/>
      <c r="H361" s="150"/>
      <c r="I361" s="150"/>
      <c r="J361" s="68" t="str">
        <f>IF(OpenPendingCases[[#This Row],[Timepiece Reference ]]="", "", IF(_xlfn.XLOOKUP(OpenPendingCases[[#This Row],[Timepiece Reference ]], Table1[[Timepiece Reference ]], Table1[CRC STOCK], "Not Found")="YES", "CRC Stock", "Boutique Stock"))</f>
        <v/>
      </c>
      <c r="K361" s="137" t="str">
        <f>IF(OpenPendingCases[[#This Row],[Timepiece Reference ]]="", "", IF(_xlfn.XLOOKUP(OpenPendingCases[[#This Row],[Timepiece Reference ]], Table1[[Timepiece Reference ]], Table1[CRC STOCK], "Not Found")="YES", "CRC Stock", "Boutique Stock"))</f>
        <v/>
      </c>
      <c r="L361" s="143"/>
      <c r="M361" s="141"/>
      <c r="N361" s="137"/>
      <c r="O361" s="134"/>
      <c r="P361" s="94" t="str">
        <f>IFERROR(VLOOKUP(TRIM(O361), Collection!$B$2:$D$1001, 2, FALSE), "")</f>
        <v/>
      </c>
      <c r="Q361" s="190" t="str">
        <f>IFERROR(VLOOKUP(TRIM(O361), Collection!$B$2:$D$1001, 3, FALSE), "")</f>
        <v/>
      </c>
      <c r="R361" s="153" t="str">
        <f t="shared" si="37"/>
        <v/>
      </c>
      <c r="S361" s="151"/>
      <c r="T361" s="158"/>
      <c r="U361" s="137"/>
      <c r="V361" s="137"/>
      <c r="W361" s="156" t="str">
        <f t="shared" si="41"/>
        <v/>
      </c>
      <c r="X361" s="157"/>
      <c r="Y361" s="158"/>
      <c r="Z361" s="158"/>
      <c r="AA361" s="137" t="str">
        <f t="shared" ca="1" si="42"/>
        <v/>
      </c>
      <c r="AB361" s="137" t="str">
        <f t="shared" ca="1" si="38"/>
        <v/>
      </c>
      <c r="AC361" s="160" t="str">
        <f t="shared" ca="1" si="39"/>
        <v/>
      </c>
      <c r="AD361" s="159" t="str">
        <f t="shared" ca="1" si="40"/>
        <v/>
      </c>
      <c r="AE361" s="161"/>
      <c r="AF361" s="161"/>
      <c r="AG361" s="161"/>
      <c r="AH361" s="137"/>
      <c r="AI361" s="164" t="str">
        <f t="shared" si="43"/>
        <v/>
      </c>
      <c r="AJ361" s="164" t="str">
        <f>IF(AND(OpenPendingCases[[#This Row],[Sale Status	]]="Open Sale",OpenPendingCases[[#This Row],[Potential Same Month]]="High"),TEXT(OpenPendingCases[[#This Row],[Request Entry Date]], "[$-en-us]mmmm"),"")</f>
        <v/>
      </c>
      <c r="AK361" s="165" t="str">
        <f>IFERROR(VALUE(SUBSTITUTE(OpenPendingCases[[#This Row],[Price]]," AED","")),"")</f>
        <v/>
      </c>
      <c r="AL361" s="165" t="str">
        <f>IFERROR(VALUE(LEFT(OpenPendingCases[[#This Row],[Price]],FIND(" ",OpenPendingCases[[#This Row],[Price]])-1)),"")</f>
        <v/>
      </c>
      <c r="AM361" s="165" t="str">
        <f>IFERROR(VALUE(_xlfn.TEXTBEFORE(OpenPendingCases[[#This Row],[Price]]," AED")),"")</f>
        <v/>
      </c>
      <c r="AN361" s="165"/>
    </row>
    <row r="362" spans="3:40" ht="18" hidden="1" x14ac:dyDescent="0.35">
      <c r="C362" s="134"/>
      <c r="D362" s="137" t="str">
        <f>IF($U362="Open Sale", IF(MAX($D$4:D361)+1=0, "", MAX($D$4:D361)+1), "")</f>
        <v/>
      </c>
      <c r="E362" s="137" t="str">
        <f>IF($U362="Pending Allocation", IF(MAX($E$4:E361)+1=0, "", MAX($E$4:E361)+1), "")</f>
        <v/>
      </c>
      <c r="F362" s="137"/>
      <c r="G362" s="137"/>
      <c r="H362" s="150"/>
      <c r="I362" s="150"/>
      <c r="J362" s="68" t="str">
        <f>IF(OpenPendingCases[[#This Row],[Timepiece Reference ]]="", "", IF(_xlfn.XLOOKUP(OpenPendingCases[[#This Row],[Timepiece Reference ]], Table1[[Timepiece Reference ]], Table1[CRC STOCK], "Not Found")="YES", "CRC Stock", "Boutique Stock"))</f>
        <v/>
      </c>
      <c r="K362" s="137" t="str">
        <f>IF(OpenPendingCases[[#This Row],[Timepiece Reference ]]="", "", IF(_xlfn.XLOOKUP(OpenPendingCases[[#This Row],[Timepiece Reference ]], Table1[[Timepiece Reference ]], Table1[CRC STOCK], "Not Found")="YES", "CRC Stock", "Boutique Stock"))</f>
        <v/>
      </c>
      <c r="L362" s="143"/>
      <c r="M362" s="141"/>
      <c r="N362" s="137"/>
      <c r="O362" s="134"/>
      <c r="P362" s="94" t="str">
        <f>IFERROR(VLOOKUP(TRIM(O362), Collection!$B$2:$D$1001, 2, FALSE), "")</f>
        <v/>
      </c>
      <c r="Q362" s="190" t="str">
        <f>IFERROR(VLOOKUP(TRIM(O362), Collection!$B$2:$D$1001, 3, FALSE), "")</f>
        <v/>
      </c>
      <c r="R362" s="153" t="str">
        <f t="shared" si="37"/>
        <v/>
      </c>
      <c r="S362" s="151"/>
      <c r="T362" s="158"/>
      <c r="U362" s="137"/>
      <c r="V362" s="137"/>
      <c r="W362" s="156" t="str">
        <f t="shared" si="41"/>
        <v/>
      </c>
      <c r="X362" s="157"/>
      <c r="Y362" s="158"/>
      <c r="Z362" s="158"/>
      <c r="AA362" s="137" t="str">
        <f t="shared" ca="1" si="42"/>
        <v/>
      </c>
      <c r="AB362" s="137" t="str">
        <f t="shared" ca="1" si="38"/>
        <v/>
      </c>
      <c r="AC362" s="160" t="str">
        <f t="shared" ca="1" si="39"/>
        <v/>
      </c>
      <c r="AD362" s="159" t="str">
        <f t="shared" ca="1" si="40"/>
        <v/>
      </c>
      <c r="AE362" s="161"/>
      <c r="AF362" s="161"/>
      <c r="AG362" s="161"/>
      <c r="AH362" s="137"/>
      <c r="AI362" s="164" t="str">
        <f t="shared" si="43"/>
        <v/>
      </c>
      <c r="AJ362" s="164" t="str">
        <f>IF(AND(OpenPendingCases[[#This Row],[Sale Status	]]="Open Sale",OpenPendingCases[[#This Row],[Potential Same Month]]="High"),TEXT(OpenPendingCases[[#This Row],[Request Entry Date]], "[$-en-us]mmmm"),"")</f>
        <v/>
      </c>
      <c r="AK362" s="165" t="str">
        <f>IFERROR(VALUE(SUBSTITUTE(OpenPendingCases[[#This Row],[Price]]," AED","")),"")</f>
        <v/>
      </c>
      <c r="AL362" s="165" t="str">
        <f>IFERROR(VALUE(LEFT(OpenPendingCases[[#This Row],[Price]],FIND(" ",OpenPendingCases[[#This Row],[Price]])-1)),"")</f>
        <v/>
      </c>
      <c r="AM362" s="165" t="str">
        <f>IFERROR(VALUE(_xlfn.TEXTBEFORE(OpenPendingCases[[#This Row],[Price]]," AED")),"")</f>
        <v/>
      </c>
      <c r="AN362" s="165"/>
    </row>
    <row r="363" spans="3:40" ht="18" hidden="1" x14ac:dyDescent="0.35">
      <c r="C363" s="134"/>
      <c r="D363" s="137" t="str">
        <f>IF($U363="Open Sale", IF(MAX($D$4:D362)+1=0, "", MAX($D$4:D362)+1), "")</f>
        <v/>
      </c>
      <c r="E363" s="137" t="str">
        <f>IF($U363="Pending Allocation", IF(MAX($E$4:E362)+1=0, "", MAX($E$4:E362)+1), "")</f>
        <v/>
      </c>
      <c r="F363" s="137"/>
      <c r="G363" s="137"/>
      <c r="H363" s="150"/>
      <c r="I363" s="150"/>
      <c r="J363" s="68" t="str">
        <f>IF(OpenPendingCases[[#This Row],[Timepiece Reference ]]="", "", IF(_xlfn.XLOOKUP(OpenPendingCases[[#This Row],[Timepiece Reference ]], Table1[[Timepiece Reference ]], Table1[CRC STOCK], "Not Found")="YES", "CRC Stock", "Boutique Stock"))</f>
        <v/>
      </c>
      <c r="K363" s="137" t="str">
        <f>IF(OpenPendingCases[[#This Row],[Timepiece Reference ]]="", "", IF(_xlfn.XLOOKUP(OpenPendingCases[[#This Row],[Timepiece Reference ]], Table1[[Timepiece Reference ]], Table1[CRC STOCK], "Not Found")="YES", "CRC Stock", "Boutique Stock"))</f>
        <v/>
      </c>
      <c r="L363" s="143"/>
      <c r="M363" s="141"/>
      <c r="N363" s="137"/>
      <c r="O363" s="134"/>
      <c r="P363" s="94" t="str">
        <f>IFERROR(VLOOKUP(TRIM(O363), Collection!$B$2:$D$1001, 2, FALSE), "")</f>
        <v/>
      </c>
      <c r="Q363" s="190" t="str">
        <f>IFERROR(VLOOKUP(TRIM(O363), Collection!$B$2:$D$1001, 3, FALSE), "")</f>
        <v/>
      </c>
      <c r="R363" s="153" t="str">
        <f t="shared" si="37"/>
        <v/>
      </c>
      <c r="S363" s="151"/>
      <c r="T363" s="158"/>
      <c r="U363" s="137"/>
      <c r="V363" s="137"/>
      <c r="W363" s="156" t="str">
        <f t="shared" si="41"/>
        <v/>
      </c>
      <c r="X363" s="157"/>
      <c r="Y363" s="158"/>
      <c r="Z363" s="158"/>
      <c r="AA363" s="137" t="str">
        <f t="shared" ca="1" si="42"/>
        <v/>
      </c>
      <c r="AB363" s="137" t="str">
        <f t="shared" ca="1" si="38"/>
        <v/>
      </c>
      <c r="AC363" s="160" t="str">
        <f t="shared" ca="1" si="39"/>
        <v/>
      </c>
      <c r="AD363" s="159" t="str">
        <f t="shared" ca="1" si="40"/>
        <v/>
      </c>
      <c r="AE363" s="161"/>
      <c r="AF363" s="161"/>
      <c r="AG363" s="161"/>
      <c r="AH363" s="137"/>
      <c r="AI363" s="164" t="str">
        <f t="shared" si="43"/>
        <v/>
      </c>
      <c r="AJ363" s="164" t="str">
        <f>IF(AND(OpenPendingCases[[#This Row],[Sale Status	]]="Open Sale",OpenPendingCases[[#This Row],[Potential Same Month]]="High"),TEXT(OpenPendingCases[[#This Row],[Request Entry Date]], "[$-en-us]mmmm"),"")</f>
        <v/>
      </c>
      <c r="AK363" s="165" t="str">
        <f>IFERROR(VALUE(SUBSTITUTE(OpenPendingCases[[#This Row],[Price]]," AED","")),"")</f>
        <v/>
      </c>
      <c r="AL363" s="165" t="str">
        <f>IFERROR(VALUE(LEFT(OpenPendingCases[[#This Row],[Price]],FIND(" ",OpenPendingCases[[#This Row],[Price]])-1)),"")</f>
        <v/>
      </c>
      <c r="AM363" s="165" t="str">
        <f>IFERROR(VALUE(_xlfn.TEXTBEFORE(OpenPendingCases[[#This Row],[Price]]," AED")),"")</f>
        <v/>
      </c>
      <c r="AN363" s="165"/>
    </row>
    <row r="364" spans="3:40" ht="18" hidden="1" x14ac:dyDescent="0.35">
      <c r="C364" s="134"/>
      <c r="D364" s="137" t="str">
        <f>IF($U364="Open Sale", IF(MAX($D$4:D363)+1=0, "", MAX($D$4:D363)+1), "")</f>
        <v/>
      </c>
      <c r="E364" s="137" t="str">
        <f>IF($U364="Pending Allocation", IF(MAX($E$4:E363)+1=0, "", MAX($E$4:E363)+1), "")</f>
        <v/>
      </c>
      <c r="F364" s="137"/>
      <c r="G364" s="137"/>
      <c r="H364" s="150"/>
      <c r="I364" s="150"/>
      <c r="J364" s="68" t="str">
        <f>IF(OpenPendingCases[[#This Row],[Timepiece Reference ]]="", "", IF(_xlfn.XLOOKUP(OpenPendingCases[[#This Row],[Timepiece Reference ]], Table1[[Timepiece Reference ]], Table1[CRC STOCK], "Not Found")="YES", "CRC Stock", "Boutique Stock"))</f>
        <v/>
      </c>
      <c r="K364" s="137" t="str">
        <f>IF(OpenPendingCases[[#This Row],[Timepiece Reference ]]="", "", IF(_xlfn.XLOOKUP(OpenPendingCases[[#This Row],[Timepiece Reference ]], Table1[[Timepiece Reference ]], Table1[CRC STOCK], "Not Found")="YES", "CRC Stock", "Boutique Stock"))</f>
        <v/>
      </c>
      <c r="L364" s="143"/>
      <c r="M364" s="141"/>
      <c r="N364" s="137"/>
      <c r="O364" s="134"/>
      <c r="P364" s="94" t="str">
        <f>IFERROR(VLOOKUP(TRIM(O364), Collection!$B$2:$D$1001, 2, FALSE), "")</f>
        <v/>
      </c>
      <c r="Q364" s="190" t="str">
        <f>IFERROR(VLOOKUP(TRIM(O364), Collection!$B$2:$D$1001, 3, FALSE), "")</f>
        <v/>
      </c>
      <c r="R364" s="153" t="str">
        <f t="shared" si="37"/>
        <v/>
      </c>
      <c r="S364" s="151"/>
      <c r="T364" s="158"/>
      <c r="U364" s="137"/>
      <c r="V364" s="137"/>
      <c r="W364" s="156" t="str">
        <f t="shared" si="41"/>
        <v/>
      </c>
      <c r="X364" s="157"/>
      <c r="Y364" s="158"/>
      <c r="Z364" s="158"/>
      <c r="AA364" s="137" t="str">
        <f t="shared" ca="1" si="42"/>
        <v/>
      </c>
      <c r="AB364" s="137" t="str">
        <f t="shared" ca="1" si="38"/>
        <v/>
      </c>
      <c r="AC364" s="160" t="str">
        <f t="shared" ca="1" si="39"/>
        <v/>
      </c>
      <c r="AD364" s="159" t="str">
        <f t="shared" ca="1" si="40"/>
        <v/>
      </c>
      <c r="AE364" s="161"/>
      <c r="AF364" s="161"/>
      <c r="AG364" s="161"/>
      <c r="AH364" s="137"/>
      <c r="AI364" s="164" t="str">
        <f t="shared" si="43"/>
        <v/>
      </c>
      <c r="AJ364" s="164" t="str">
        <f>IF(AND(OpenPendingCases[[#This Row],[Sale Status	]]="Open Sale",OpenPendingCases[[#This Row],[Potential Same Month]]="High"),TEXT(OpenPendingCases[[#This Row],[Request Entry Date]], "[$-en-us]mmmm"),"")</f>
        <v/>
      </c>
      <c r="AK364" s="165" t="str">
        <f>IFERROR(VALUE(SUBSTITUTE(OpenPendingCases[[#This Row],[Price]]," AED","")),"")</f>
        <v/>
      </c>
      <c r="AL364" s="165" t="str">
        <f>IFERROR(VALUE(LEFT(OpenPendingCases[[#This Row],[Price]],FIND(" ",OpenPendingCases[[#This Row],[Price]])-1)),"")</f>
        <v/>
      </c>
      <c r="AM364" s="165" t="str">
        <f>IFERROR(VALUE(_xlfn.TEXTBEFORE(OpenPendingCases[[#This Row],[Price]]," AED")),"")</f>
        <v/>
      </c>
      <c r="AN364" s="165"/>
    </row>
    <row r="365" spans="3:40" ht="18" hidden="1" x14ac:dyDescent="0.35">
      <c r="C365" s="134"/>
      <c r="D365" s="137" t="str">
        <f>IF($U365="Open Sale", IF(MAX($D$4:D364)+1=0, "", MAX($D$4:D364)+1), "")</f>
        <v/>
      </c>
      <c r="E365" s="137" t="str">
        <f>IF($U365="Pending Allocation", IF(MAX($E$4:E364)+1=0, "", MAX($E$4:E364)+1), "")</f>
        <v/>
      </c>
      <c r="F365" s="137"/>
      <c r="G365" s="137"/>
      <c r="H365" s="150"/>
      <c r="I365" s="150"/>
      <c r="J365" s="68" t="str">
        <f>IF(OpenPendingCases[[#This Row],[Timepiece Reference ]]="", "", IF(_xlfn.XLOOKUP(OpenPendingCases[[#This Row],[Timepiece Reference ]], Table1[[Timepiece Reference ]], Table1[CRC STOCK], "Not Found")="YES", "CRC Stock", "Boutique Stock"))</f>
        <v/>
      </c>
      <c r="K365" s="137" t="str">
        <f>IF(OpenPendingCases[[#This Row],[Timepiece Reference ]]="", "", IF(_xlfn.XLOOKUP(OpenPendingCases[[#This Row],[Timepiece Reference ]], Table1[[Timepiece Reference ]], Table1[CRC STOCK], "Not Found")="YES", "CRC Stock", "Boutique Stock"))</f>
        <v/>
      </c>
      <c r="L365" s="143"/>
      <c r="M365" s="141"/>
      <c r="N365" s="137"/>
      <c r="O365" s="134"/>
      <c r="P365" s="94" t="str">
        <f>IFERROR(VLOOKUP(TRIM(O365), Collection!$B$2:$D$1001, 2, FALSE), "")</f>
        <v/>
      </c>
      <c r="Q365" s="190" t="str">
        <f>IFERROR(VLOOKUP(TRIM(O365), Collection!$B$2:$D$1001, 3, FALSE), "")</f>
        <v/>
      </c>
      <c r="R365" s="153" t="str">
        <f t="shared" si="37"/>
        <v/>
      </c>
      <c r="S365" s="151"/>
      <c r="T365" s="158"/>
      <c r="U365" s="137"/>
      <c r="V365" s="137"/>
      <c r="W365" s="156" t="str">
        <f t="shared" si="41"/>
        <v/>
      </c>
      <c r="X365" s="157"/>
      <c r="Y365" s="158"/>
      <c r="Z365" s="158"/>
      <c r="AA365" s="137" t="str">
        <f t="shared" ca="1" si="42"/>
        <v/>
      </c>
      <c r="AB365" s="137" t="str">
        <f t="shared" ca="1" si="38"/>
        <v/>
      </c>
      <c r="AC365" s="160" t="str">
        <f t="shared" ca="1" si="39"/>
        <v/>
      </c>
      <c r="AD365" s="159" t="str">
        <f t="shared" ca="1" si="40"/>
        <v/>
      </c>
      <c r="AE365" s="161"/>
      <c r="AF365" s="161"/>
      <c r="AG365" s="161"/>
      <c r="AH365" s="137"/>
      <c r="AI365" s="164" t="str">
        <f t="shared" si="43"/>
        <v/>
      </c>
      <c r="AJ365" s="164" t="str">
        <f>IF(AND(OpenPendingCases[[#This Row],[Sale Status	]]="Open Sale",OpenPendingCases[[#This Row],[Potential Same Month]]="High"),TEXT(OpenPendingCases[[#This Row],[Request Entry Date]], "[$-en-us]mmmm"),"")</f>
        <v/>
      </c>
      <c r="AK365" s="165" t="str">
        <f>IFERROR(VALUE(SUBSTITUTE(OpenPendingCases[[#This Row],[Price]]," AED","")),"")</f>
        <v/>
      </c>
      <c r="AL365" s="165" t="str">
        <f>IFERROR(VALUE(LEFT(OpenPendingCases[[#This Row],[Price]],FIND(" ",OpenPendingCases[[#This Row],[Price]])-1)),"")</f>
        <v/>
      </c>
      <c r="AM365" s="165" t="str">
        <f>IFERROR(VALUE(_xlfn.TEXTBEFORE(OpenPendingCases[[#This Row],[Price]]," AED")),"")</f>
        <v/>
      </c>
      <c r="AN365" s="165"/>
    </row>
    <row r="366" spans="3:40" ht="18" hidden="1" x14ac:dyDescent="0.35">
      <c r="C366" s="134"/>
      <c r="D366" s="137" t="str">
        <f>IF($U366="Open Sale", IF(MAX($D$4:D365)+1=0, "", MAX($D$4:D365)+1), "")</f>
        <v/>
      </c>
      <c r="E366" s="137" t="str">
        <f>IF($U366="Pending Allocation", IF(MAX($E$4:E365)+1=0, "", MAX($E$4:E365)+1), "")</f>
        <v/>
      </c>
      <c r="F366" s="137"/>
      <c r="G366" s="137"/>
      <c r="H366" s="150"/>
      <c r="I366" s="150"/>
      <c r="J366" s="68" t="str">
        <f>IF(OpenPendingCases[[#This Row],[Timepiece Reference ]]="", "", IF(_xlfn.XLOOKUP(OpenPendingCases[[#This Row],[Timepiece Reference ]], Table1[[Timepiece Reference ]], Table1[CRC STOCK], "Not Found")="YES", "CRC Stock", "Boutique Stock"))</f>
        <v/>
      </c>
      <c r="K366" s="137" t="str">
        <f>IF(OpenPendingCases[[#This Row],[Timepiece Reference ]]="", "", IF(_xlfn.XLOOKUP(OpenPendingCases[[#This Row],[Timepiece Reference ]], Table1[[Timepiece Reference ]], Table1[CRC STOCK], "Not Found")="YES", "CRC Stock", "Boutique Stock"))</f>
        <v/>
      </c>
      <c r="L366" s="143"/>
      <c r="M366" s="141"/>
      <c r="N366" s="137"/>
      <c r="O366" s="134"/>
      <c r="P366" s="94" t="str">
        <f>IFERROR(VLOOKUP(TRIM(O366), Collection!$B$2:$D$1001, 2, FALSE), "")</f>
        <v/>
      </c>
      <c r="Q366" s="190" t="str">
        <f>IFERROR(VLOOKUP(TRIM(O366), Collection!$B$2:$D$1001, 3, FALSE), "")</f>
        <v/>
      </c>
      <c r="R366" s="153" t="str">
        <f t="shared" si="37"/>
        <v/>
      </c>
      <c r="S366" s="151"/>
      <c r="T366" s="158"/>
      <c r="U366" s="137"/>
      <c r="V366" s="137"/>
      <c r="W366" s="156" t="str">
        <f t="shared" si="41"/>
        <v/>
      </c>
      <c r="X366" s="157"/>
      <c r="Y366" s="158"/>
      <c r="Z366" s="158"/>
      <c r="AA366" s="137" t="str">
        <f t="shared" ca="1" si="42"/>
        <v/>
      </c>
      <c r="AB366" s="137" t="str">
        <f t="shared" ca="1" si="38"/>
        <v/>
      </c>
      <c r="AC366" s="160" t="str">
        <f t="shared" ca="1" si="39"/>
        <v/>
      </c>
      <c r="AD366" s="159" t="str">
        <f t="shared" ca="1" si="40"/>
        <v/>
      </c>
      <c r="AE366" s="161"/>
      <c r="AF366" s="161"/>
      <c r="AG366" s="161"/>
      <c r="AH366" s="137"/>
      <c r="AI366" s="164" t="str">
        <f t="shared" si="43"/>
        <v/>
      </c>
      <c r="AJ366" s="164" t="str">
        <f>IF(AND(OpenPendingCases[[#This Row],[Sale Status	]]="Open Sale",OpenPendingCases[[#This Row],[Potential Same Month]]="High"),TEXT(OpenPendingCases[[#This Row],[Request Entry Date]], "[$-en-us]mmmm"),"")</f>
        <v/>
      </c>
      <c r="AK366" s="165" t="str">
        <f>IFERROR(VALUE(SUBSTITUTE(OpenPendingCases[[#This Row],[Price]]," AED","")),"")</f>
        <v/>
      </c>
      <c r="AL366" s="165" t="str">
        <f>IFERROR(VALUE(LEFT(OpenPendingCases[[#This Row],[Price]],FIND(" ",OpenPendingCases[[#This Row],[Price]])-1)),"")</f>
        <v/>
      </c>
      <c r="AM366" s="165" t="str">
        <f>IFERROR(VALUE(_xlfn.TEXTBEFORE(OpenPendingCases[[#This Row],[Price]]," AED")),"")</f>
        <v/>
      </c>
      <c r="AN366" s="165"/>
    </row>
    <row r="367" spans="3:40" ht="18" hidden="1" x14ac:dyDescent="0.35">
      <c r="C367" s="134"/>
      <c r="D367" s="137" t="str">
        <f>IF($U367="Open Sale", IF(MAX($D$4:D366)+1=0, "", MAX($D$4:D366)+1), "")</f>
        <v/>
      </c>
      <c r="E367" s="137" t="str">
        <f>IF($U367="Pending Allocation", IF(MAX($E$4:E366)+1=0, "", MAX($E$4:E366)+1), "")</f>
        <v/>
      </c>
      <c r="F367" s="137"/>
      <c r="G367" s="137"/>
      <c r="H367" s="150"/>
      <c r="I367" s="150"/>
      <c r="J367" s="68" t="str">
        <f>IF(OpenPendingCases[[#This Row],[Timepiece Reference ]]="", "", IF(_xlfn.XLOOKUP(OpenPendingCases[[#This Row],[Timepiece Reference ]], Table1[[Timepiece Reference ]], Table1[CRC STOCK], "Not Found")="YES", "CRC Stock", "Boutique Stock"))</f>
        <v/>
      </c>
      <c r="K367" s="137" t="str">
        <f>IF(OpenPendingCases[[#This Row],[Timepiece Reference ]]="", "", IF(_xlfn.XLOOKUP(OpenPendingCases[[#This Row],[Timepiece Reference ]], Table1[[Timepiece Reference ]], Table1[CRC STOCK], "Not Found")="YES", "CRC Stock", "Boutique Stock"))</f>
        <v/>
      </c>
      <c r="L367" s="143"/>
      <c r="M367" s="141"/>
      <c r="N367" s="137"/>
      <c r="O367" s="134"/>
      <c r="P367" s="94" t="str">
        <f>IFERROR(VLOOKUP(TRIM(O367), Collection!$B$2:$D$1001, 2, FALSE), "")</f>
        <v/>
      </c>
      <c r="Q367" s="190" t="str">
        <f>IFERROR(VLOOKUP(TRIM(O367), Collection!$B$2:$D$1001, 3, FALSE), "")</f>
        <v/>
      </c>
      <c r="R367" s="153" t="str">
        <f t="shared" si="37"/>
        <v/>
      </c>
      <c r="S367" s="151"/>
      <c r="T367" s="158"/>
      <c r="U367" s="137"/>
      <c r="V367" s="137"/>
      <c r="W367" s="156" t="str">
        <f t="shared" si="41"/>
        <v/>
      </c>
      <c r="X367" s="157"/>
      <c r="Y367" s="158"/>
      <c r="Z367" s="158"/>
      <c r="AA367" s="137" t="str">
        <f t="shared" ca="1" si="42"/>
        <v/>
      </c>
      <c r="AB367" s="137" t="str">
        <f t="shared" ca="1" si="38"/>
        <v/>
      </c>
      <c r="AC367" s="160" t="str">
        <f t="shared" ca="1" si="39"/>
        <v/>
      </c>
      <c r="AD367" s="159" t="str">
        <f t="shared" ca="1" si="40"/>
        <v/>
      </c>
      <c r="AE367" s="161"/>
      <c r="AF367" s="161"/>
      <c r="AG367" s="161"/>
      <c r="AH367" s="137"/>
      <c r="AI367" s="164" t="str">
        <f t="shared" si="43"/>
        <v/>
      </c>
      <c r="AJ367" s="164" t="str">
        <f>IF(AND(OpenPendingCases[[#This Row],[Sale Status	]]="Open Sale",OpenPendingCases[[#This Row],[Potential Same Month]]="High"),TEXT(OpenPendingCases[[#This Row],[Request Entry Date]], "[$-en-us]mmmm"),"")</f>
        <v/>
      </c>
      <c r="AK367" s="165" t="str">
        <f>IFERROR(VALUE(SUBSTITUTE(OpenPendingCases[[#This Row],[Price]]," AED","")),"")</f>
        <v/>
      </c>
      <c r="AL367" s="165" t="str">
        <f>IFERROR(VALUE(LEFT(OpenPendingCases[[#This Row],[Price]],FIND(" ",OpenPendingCases[[#This Row],[Price]])-1)),"")</f>
        <v/>
      </c>
      <c r="AM367" s="165" t="str">
        <f>IFERROR(VALUE(_xlfn.TEXTBEFORE(OpenPendingCases[[#This Row],[Price]]," AED")),"")</f>
        <v/>
      </c>
      <c r="AN367" s="165"/>
    </row>
    <row r="368" spans="3:40" ht="18" hidden="1" x14ac:dyDescent="0.35">
      <c r="C368" s="134"/>
      <c r="D368" s="137" t="str">
        <f>IF($U368="Open Sale", IF(MAX($D$4:D367)+1=0, "", MAX($D$4:D367)+1), "")</f>
        <v/>
      </c>
      <c r="E368" s="137" t="str">
        <f>IF($U368="Pending Allocation", IF(MAX($E$4:E367)+1=0, "", MAX($E$4:E367)+1), "")</f>
        <v/>
      </c>
      <c r="F368" s="137"/>
      <c r="G368" s="137"/>
      <c r="H368" s="150"/>
      <c r="I368" s="150"/>
      <c r="J368" s="68" t="str">
        <f>IF(OpenPendingCases[[#This Row],[Timepiece Reference ]]="", "", IF(_xlfn.XLOOKUP(OpenPendingCases[[#This Row],[Timepiece Reference ]], Table1[[Timepiece Reference ]], Table1[CRC STOCK], "Not Found")="YES", "CRC Stock", "Boutique Stock"))</f>
        <v/>
      </c>
      <c r="K368" s="137" t="str">
        <f>IF(OpenPendingCases[[#This Row],[Timepiece Reference ]]="", "", IF(_xlfn.XLOOKUP(OpenPendingCases[[#This Row],[Timepiece Reference ]], Table1[[Timepiece Reference ]], Table1[CRC STOCK], "Not Found")="YES", "CRC Stock", "Boutique Stock"))</f>
        <v/>
      </c>
      <c r="L368" s="143"/>
      <c r="M368" s="141"/>
      <c r="N368" s="137"/>
      <c r="O368" s="134"/>
      <c r="P368" s="94" t="str">
        <f>IFERROR(VLOOKUP(TRIM(O368), Collection!$B$2:$D$1001, 2, FALSE), "")</f>
        <v/>
      </c>
      <c r="Q368" s="190" t="str">
        <f>IFERROR(VLOOKUP(TRIM(O368), Collection!$B$2:$D$1001, 3, FALSE), "")</f>
        <v/>
      </c>
      <c r="R368" s="153" t="str">
        <f t="shared" si="37"/>
        <v/>
      </c>
      <c r="S368" s="151"/>
      <c r="T368" s="158"/>
      <c r="U368" s="137"/>
      <c r="V368" s="137"/>
      <c r="W368" s="156" t="str">
        <f t="shared" si="41"/>
        <v/>
      </c>
      <c r="X368" s="157"/>
      <c r="Y368" s="158"/>
      <c r="Z368" s="158"/>
      <c r="AA368" s="137" t="str">
        <f t="shared" ca="1" si="42"/>
        <v/>
      </c>
      <c r="AB368" s="137" t="str">
        <f t="shared" ca="1" si="38"/>
        <v/>
      </c>
      <c r="AC368" s="160" t="str">
        <f t="shared" ca="1" si="39"/>
        <v/>
      </c>
      <c r="AD368" s="159" t="str">
        <f t="shared" ca="1" si="40"/>
        <v/>
      </c>
      <c r="AE368" s="161"/>
      <c r="AF368" s="161"/>
      <c r="AG368" s="161"/>
      <c r="AH368" s="137"/>
      <c r="AI368" s="164" t="str">
        <f t="shared" si="43"/>
        <v/>
      </c>
      <c r="AJ368" s="164" t="str">
        <f>IF(AND(OpenPendingCases[[#This Row],[Sale Status	]]="Open Sale",OpenPendingCases[[#This Row],[Potential Same Month]]="High"),TEXT(OpenPendingCases[[#This Row],[Request Entry Date]], "[$-en-us]mmmm"),"")</f>
        <v/>
      </c>
      <c r="AK368" s="165" t="str">
        <f>IFERROR(VALUE(SUBSTITUTE(OpenPendingCases[[#This Row],[Price]]," AED","")),"")</f>
        <v/>
      </c>
      <c r="AL368" s="165" t="str">
        <f>IFERROR(VALUE(LEFT(OpenPendingCases[[#This Row],[Price]],FIND(" ",OpenPendingCases[[#This Row],[Price]])-1)),"")</f>
        <v/>
      </c>
      <c r="AM368" s="165" t="str">
        <f>IFERROR(VALUE(_xlfn.TEXTBEFORE(OpenPendingCases[[#This Row],[Price]]," AED")),"")</f>
        <v/>
      </c>
      <c r="AN368" s="165"/>
    </row>
    <row r="369" spans="3:40" ht="18" hidden="1" x14ac:dyDescent="0.35">
      <c r="C369" s="134"/>
      <c r="D369" s="137" t="str">
        <f>IF($U369="Open Sale", IF(MAX($D$4:D368)+1=0, "", MAX($D$4:D368)+1), "")</f>
        <v/>
      </c>
      <c r="E369" s="137" t="str">
        <f>IF($U369="Pending Allocation", IF(MAX($E$4:E368)+1=0, "", MAX($E$4:E368)+1), "")</f>
        <v/>
      </c>
      <c r="F369" s="137"/>
      <c r="G369" s="137"/>
      <c r="H369" s="150"/>
      <c r="I369" s="150"/>
      <c r="J369" s="68" t="str">
        <f>IF(OpenPendingCases[[#This Row],[Timepiece Reference ]]="", "", IF(_xlfn.XLOOKUP(OpenPendingCases[[#This Row],[Timepiece Reference ]], Table1[[Timepiece Reference ]], Table1[CRC STOCK], "Not Found")="YES", "CRC Stock", "Boutique Stock"))</f>
        <v/>
      </c>
      <c r="K369" s="137" t="str">
        <f>IF(OpenPendingCases[[#This Row],[Timepiece Reference ]]="", "", IF(_xlfn.XLOOKUP(OpenPendingCases[[#This Row],[Timepiece Reference ]], Table1[[Timepiece Reference ]], Table1[CRC STOCK], "Not Found")="YES", "CRC Stock", "Boutique Stock"))</f>
        <v/>
      </c>
      <c r="L369" s="143"/>
      <c r="M369" s="141"/>
      <c r="N369" s="137"/>
      <c r="O369" s="134"/>
      <c r="P369" s="94" t="str">
        <f>IFERROR(VLOOKUP(TRIM(O369), Collection!$B$2:$D$1001, 2, FALSE), "")</f>
        <v/>
      </c>
      <c r="Q369" s="190" t="str">
        <f>IFERROR(VLOOKUP(TRIM(O369), Collection!$B$2:$D$1001, 3, FALSE), "")</f>
        <v/>
      </c>
      <c r="R369" s="153" t="str">
        <f t="shared" si="37"/>
        <v/>
      </c>
      <c r="S369" s="151"/>
      <c r="T369" s="158"/>
      <c r="U369" s="137"/>
      <c r="V369" s="137"/>
      <c r="W369" s="156" t="str">
        <f t="shared" si="41"/>
        <v/>
      </c>
      <c r="X369" s="157"/>
      <c r="Y369" s="158"/>
      <c r="Z369" s="158"/>
      <c r="AA369" s="137" t="str">
        <f t="shared" ca="1" si="42"/>
        <v/>
      </c>
      <c r="AB369" s="137" t="str">
        <f t="shared" ca="1" si="38"/>
        <v/>
      </c>
      <c r="AC369" s="160" t="str">
        <f t="shared" ca="1" si="39"/>
        <v/>
      </c>
      <c r="AD369" s="159" t="str">
        <f t="shared" ca="1" si="40"/>
        <v/>
      </c>
      <c r="AE369" s="161"/>
      <c r="AF369" s="161"/>
      <c r="AG369" s="161"/>
      <c r="AH369" s="137"/>
      <c r="AI369" s="164" t="str">
        <f t="shared" si="43"/>
        <v/>
      </c>
      <c r="AJ369" s="164" t="str">
        <f>IF(AND(OpenPendingCases[[#This Row],[Sale Status	]]="Open Sale",OpenPendingCases[[#This Row],[Potential Same Month]]="High"),TEXT(OpenPendingCases[[#This Row],[Request Entry Date]], "[$-en-us]mmmm"),"")</f>
        <v/>
      </c>
      <c r="AK369" s="165" t="str">
        <f>IFERROR(VALUE(SUBSTITUTE(OpenPendingCases[[#This Row],[Price]]," AED","")),"")</f>
        <v/>
      </c>
      <c r="AL369" s="165" t="str">
        <f>IFERROR(VALUE(LEFT(OpenPendingCases[[#This Row],[Price]],FIND(" ",OpenPendingCases[[#This Row],[Price]])-1)),"")</f>
        <v/>
      </c>
      <c r="AM369" s="165" t="str">
        <f>IFERROR(VALUE(_xlfn.TEXTBEFORE(OpenPendingCases[[#This Row],[Price]]," AED")),"")</f>
        <v/>
      </c>
      <c r="AN369" s="165"/>
    </row>
    <row r="370" spans="3:40" ht="18" hidden="1" x14ac:dyDescent="0.35">
      <c r="C370" s="134"/>
      <c r="D370" s="137" t="str">
        <f>IF($U370="Open Sale", IF(MAX($D$4:D369)+1=0, "", MAX($D$4:D369)+1), "")</f>
        <v/>
      </c>
      <c r="E370" s="137" t="str">
        <f>IF($U370="Pending Allocation", IF(MAX($E$4:E369)+1=0, "", MAX($E$4:E369)+1), "")</f>
        <v/>
      </c>
      <c r="F370" s="137"/>
      <c r="G370" s="137"/>
      <c r="H370" s="150"/>
      <c r="I370" s="150"/>
      <c r="J370" s="68" t="str">
        <f>IF(OpenPendingCases[[#This Row],[Timepiece Reference ]]="", "", IF(_xlfn.XLOOKUP(OpenPendingCases[[#This Row],[Timepiece Reference ]], Table1[[Timepiece Reference ]], Table1[CRC STOCK], "Not Found")="YES", "CRC Stock", "Boutique Stock"))</f>
        <v/>
      </c>
      <c r="K370" s="137" t="str">
        <f>IF(OpenPendingCases[[#This Row],[Timepiece Reference ]]="", "", IF(_xlfn.XLOOKUP(OpenPendingCases[[#This Row],[Timepiece Reference ]], Table1[[Timepiece Reference ]], Table1[CRC STOCK], "Not Found")="YES", "CRC Stock", "Boutique Stock"))</f>
        <v/>
      </c>
      <c r="L370" s="143"/>
      <c r="M370" s="141"/>
      <c r="N370" s="137"/>
      <c r="O370" s="134"/>
      <c r="P370" s="94" t="str">
        <f>IFERROR(VLOOKUP(TRIM(O370), Collection!$B$2:$D$1001, 2, FALSE), "")</f>
        <v/>
      </c>
      <c r="Q370" s="190" t="str">
        <f>IFERROR(VLOOKUP(TRIM(O370), Collection!$B$2:$D$1001, 3, FALSE), "")</f>
        <v/>
      </c>
      <c r="R370" s="153" t="str">
        <f t="shared" si="37"/>
        <v/>
      </c>
      <c r="S370" s="151"/>
      <c r="T370" s="158"/>
      <c r="U370" s="137"/>
      <c r="V370" s="137"/>
      <c r="W370" s="156" t="str">
        <f t="shared" si="41"/>
        <v/>
      </c>
      <c r="X370" s="157"/>
      <c r="Y370" s="158"/>
      <c r="Z370" s="158"/>
      <c r="AA370" s="137" t="str">
        <f t="shared" ca="1" si="42"/>
        <v/>
      </c>
      <c r="AB370" s="137" t="str">
        <f t="shared" ca="1" si="38"/>
        <v/>
      </c>
      <c r="AC370" s="160" t="str">
        <f t="shared" ca="1" si="39"/>
        <v/>
      </c>
      <c r="AD370" s="159" t="str">
        <f t="shared" ca="1" si="40"/>
        <v/>
      </c>
      <c r="AE370" s="161"/>
      <c r="AF370" s="161"/>
      <c r="AG370" s="161"/>
      <c r="AH370" s="137"/>
      <c r="AI370" s="164" t="str">
        <f t="shared" si="43"/>
        <v/>
      </c>
      <c r="AJ370" s="164" t="str">
        <f>IF(AND(OpenPendingCases[[#This Row],[Sale Status	]]="Open Sale",OpenPendingCases[[#This Row],[Potential Same Month]]="High"),TEXT(OpenPendingCases[[#This Row],[Request Entry Date]], "[$-en-us]mmmm"),"")</f>
        <v/>
      </c>
      <c r="AK370" s="165" t="str">
        <f>IFERROR(VALUE(SUBSTITUTE(OpenPendingCases[[#This Row],[Price]]," AED","")),"")</f>
        <v/>
      </c>
      <c r="AL370" s="165" t="str">
        <f>IFERROR(VALUE(LEFT(OpenPendingCases[[#This Row],[Price]],FIND(" ",OpenPendingCases[[#This Row],[Price]])-1)),"")</f>
        <v/>
      </c>
      <c r="AM370" s="165" t="str">
        <f>IFERROR(VALUE(_xlfn.TEXTBEFORE(OpenPendingCases[[#This Row],[Price]]," AED")),"")</f>
        <v/>
      </c>
      <c r="AN370" s="165"/>
    </row>
    <row r="371" spans="3:40" ht="18" hidden="1" x14ac:dyDescent="0.35">
      <c r="C371" s="134"/>
      <c r="D371" s="137" t="str">
        <f>IF($U371="Open Sale", IF(MAX($D$4:D370)+1=0, "", MAX($D$4:D370)+1), "")</f>
        <v/>
      </c>
      <c r="E371" s="137" t="str">
        <f>IF($U371="Pending Allocation", IF(MAX($E$4:E370)+1=0, "", MAX($E$4:E370)+1), "")</f>
        <v/>
      </c>
      <c r="F371" s="137"/>
      <c r="G371" s="137"/>
      <c r="H371" s="150"/>
      <c r="I371" s="150"/>
      <c r="J371" s="68" t="str">
        <f>IF(OpenPendingCases[[#This Row],[Timepiece Reference ]]="", "", IF(_xlfn.XLOOKUP(OpenPendingCases[[#This Row],[Timepiece Reference ]], Table1[[Timepiece Reference ]], Table1[CRC STOCK], "Not Found")="YES", "CRC Stock", "Boutique Stock"))</f>
        <v/>
      </c>
      <c r="K371" s="137" t="str">
        <f>IF(OpenPendingCases[[#This Row],[Timepiece Reference ]]="", "", IF(_xlfn.XLOOKUP(OpenPendingCases[[#This Row],[Timepiece Reference ]], Table1[[Timepiece Reference ]], Table1[CRC STOCK], "Not Found")="YES", "CRC Stock", "Boutique Stock"))</f>
        <v/>
      </c>
      <c r="L371" s="143"/>
      <c r="M371" s="141"/>
      <c r="N371" s="137"/>
      <c r="O371" s="134"/>
      <c r="P371" s="94" t="str">
        <f>IFERROR(VLOOKUP(TRIM(O371), Collection!$B$2:$D$1001, 2, FALSE), "")</f>
        <v/>
      </c>
      <c r="Q371" s="190" t="str">
        <f>IFERROR(VLOOKUP(TRIM(O371), Collection!$B$2:$D$1001, 3, FALSE), "")</f>
        <v/>
      </c>
      <c r="R371" s="153" t="str">
        <f t="shared" si="37"/>
        <v/>
      </c>
      <c r="S371" s="151"/>
      <c r="T371" s="158"/>
      <c r="U371" s="137"/>
      <c r="V371" s="137"/>
      <c r="W371" s="156" t="str">
        <f t="shared" si="41"/>
        <v/>
      </c>
      <c r="X371" s="157"/>
      <c r="Y371" s="158"/>
      <c r="Z371" s="158"/>
      <c r="AA371" s="137" t="str">
        <f t="shared" ca="1" si="42"/>
        <v/>
      </c>
      <c r="AB371" s="137" t="str">
        <f t="shared" ca="1" si="38"/>
        <v/>
      </c>
      <c r="AC371" s="160" t="str">
        <f t="shared" ca="1" si="39"/>
        <v/>
      </c>
      <c r="AD371" s="159" t="str">
        <f t="shared" ca="1" si="40"/>
        <v/>
      </c>
      <c r="AE371" s="161"/>
      <c r="AF371" s="161"/>
      <c r="AG371" s="161"/>
      <c r="AH371" s="137"/>
      <c r="AI371" s="164" t="str">
        <f t="shared" si="43"/>
        <v/>
      </c>
      <c r="AJ371" s="164" t="str">
        <f>IF(AND(OpenPendingCases[[#This Row],[Sale Status	]]="Open Sale",OpenPendingCases[[#This Row],[Potential Same Month]]="High"),TEXT(OpenPendingCases[[#This Row],[Request Entry Date]], "[$-en-us]mmmm"),"")</f>
        <v/>
      </c>
      <c r="AK371" s="165" t="str">
        <f>IFERROR(VALUE(SUBSTITUTE(OpenPendingCases[[#This Row],[Price]]," AED","")),"")</f>
        <v/>
      </c>
      <c r="AL371" s="165" t="str">
        <f>IFERROR(VALUE(LEFT(OpenPendingCases[[#This Row],[Price]],FIND(" ",OpenPendingCases[[#This Row],[Price]])-1)),"")</f>
        <v/>
      </c>
      <c r="AM371" s="165" t="str">
        <f>IFERROR(VALUE(_xlfn.TEXTBEFORE(OpenPendingCases[[#This Row],[Price]]," AED")),"")</f>
        <v/>
      </c>
      <c r="AN371" s="165"/>
    </row>
    <row r="372" spans="3:40" ht="18" hidden="1" x14ac:dyDescent="0.35">
      <c r="C372" s="134"/>
      <c r="D372" s="137" t="str">
        <f>IF($U372="Open Sale", IF(MAX($D$4:D371)+1=0, "", MAX($D$4:D371)+1), "")</f>
        <v/>
      </c>
      <c r="E372" s="137" t="str">
        <f>IF($U372="Pending Allocation", IF(MAX($E$4:E371)+1=0, "", MAX($E$4:E371)+1), "")</f>
        <v/>
      </c>
      <c r="F372" s="137"/>
      <c r="G372" s="137"/>
      <c r="H372" s="150"/>
      <c r="I372" s="150"/>
      <c r="J372" s="68" t="str">
        <f>IF(OpenPendingCases[[#This Row],[Timepiece Reference ]]="", "", IF(_xlfn.XLOOKUP(OpenPendingCases[[#This Row],[Timepiece Reference ]], Table1[[Timepiece Reference ]], Table1[CRC STOCK], "Not Found")="YES", "CRC Stock", "Boutique Stock"))</f>
        <v/>
      </c>
      <c r="K372" s="137" t="str">
        <f>IF(OpenPendingCases[[#This Row],[Timepiece Reference ]]="", "", IF(_xlfn.XLOOKUP(OpenPendingCases[[#This Row],[Timepiece Reference ]], Table1[[Timepiece Reference ]], Table1[CRC STOCK], "Not Found")="YES", "CRC Stock", "Boutique Stock"))</f>
        <v/>
      </c>
      <c r="L372" s="143"/>
      <c r="M372" s="141"/>
      <c r="N372" s="137"/>
      <c r="O372" s="134"/>
      <c r="P372" s="94" t="str">
        <f>IFERROR(VLOOKUP(TRIM(O372), Collection!$B$2:$D$1001, 2, FALSE), "")</f>
        <v/>
      </c>
      <c r="Q372" s="190" t="str">
        <f>IFERROR(VLOOKUP(TRIM(O372), Collection!$B$2:$D$1001, 3, FALSE), "")</f>
        <v/>
      </c>
      <c r="R372" s="153" t="str">
        <f t="shared" si="37"/>
        <v/>
      </c>
      <c r="S372" s="151"/>
      <c r="T372" s="158"/>
      <c r="U372" s="137"/>
      <c r="V372" s="137"/>
      <c r="W372" s="156" t="str">
        <f t="shared" si="41"/>
        <v/>
      </c>
      <c r="X372" s="157"/>
      <c r="Y372" s="158"/>
      <c r="Z372" s="158"/>
      <c r="AA372" s="137" t="str">
        <f t="shared" ca="1" si="42"/>
        <v/>
      </c>
      <c r="AB372" s="137" t="str">
        <f t="shared" ca="1" si="38"/>
        <v/>
      </c>
      <c r="AC372" s="160" t="str">
        <f t="shared" ca="1" si="39"/>
        <v/>
      </c>
      <c r="AD372" s="159" t="str">
        <f t="shared" ca="1" si="40"/>
        <v/>
      </c>
      <c r="AE372" s="161"/>
      <c r="AF372" s="161"/>
      <c r="AG372" s="161"/>
      <c r="AH372" s="137"/>
      <c r="AI372" s="164" t="str">
        <f t="shared" si="43"/>
        <v/>
      </c>
      <c r="AJ372" s="164" t="str">
        <f>IF(AND(OpenPendingCases[[#This Row],[Sale Status	]]="Open Sale",OpenPendingCases[[#This Row],[Potential Same Month]]="High"),TEXT(OpenPendingCases[[#This Row],[Request Entry Date]], "[$-en-us]mmmm"),"")</f>
        <v/>
      </c>
      <c r="AK372" s="165" t="str">
        <f>IFERROR(VALUE(SUBSTITUTE(OpenPendingCases[[#This Row],[Price]]," AED","")),"")</f>
        <v/>
      </c>
      <c r="AL372" s="165" t="str">
        <f>IFERROR(VALUE(LEFT(OpenPendingCases[[#This Row],[Price]],FIND(" ",OpenPendingCases[[#This Row],[Price]])-1)),"")</f>
        <v/>
      </c>
      <c r="AM372" s="165" t="str">
        <f>IFERROR(VALUE(_xlfn.TEXTBEFORE(OpenPendingCases[[#This Row],[Price]]," AED")),"")</f>
        <v/>
      </c>
      <c r="AN372" s="165"/>
    </row>
    <row r="373" spans="3:40" ht="18" hidden="1" x14ac:dyDescent="0.35">
      <c r="C373" s="134"/>
      <c r="D373" s="137" t="str">
        <f>IF($U373="Open Sale", IF(MAX($D$4:D372)+1=0, "", MAX($D$4:D372)+1), "")</f>
        <v/>
      </c>
      <c r="E373" s="137" t="str">
        <f>IF($U373="Pending Allocation", IF(MAX($E$4:E372)+1=0, "", MAX($E$4:E372)+1), "")</f>
        <v/>
      </c>
      <c r="F373" s="137"/>
      <c r="G373" s="137"/>
      <c r="H373" s="150"/>
      <c r="I373" s="150"/>
      <c r="J373" s="68" t="str">
        <f>IF(OpenPendingCases[[#This Row],[Timepiece Reference ]]="", "", IF(_xlfn.XLOOKUP(OpenPendingCases[[#This Row],[Timepiece Reference ]], Table1[[Timepiece Reference ]], Table1[CRC STOCK], "Not Found")="YES", "CRC Stock", "Boutique Stock"))</f>
        <v/>
      </c>
      <c r="K373" s="137" t="str">
        <f>IF(OpenPendingCases[[#This Row],[Timepiece Reference ]]="", "", IF(_xlfn.XLOOKUP(OpenPendingCases[[#This Row],[Timepiece Reference ]], Table1[[Timepiece Reference ]], Table1[CRC STOCK], "Not Found")="YES", "CRC Stock", "Boutique Stock"))</f>
        <v/>
      </c>
      <c r="L373" s="143"/>
      <c r="M373" s="141"/>
      <c r="N373" s="137"/>
      <c r="O373" s="134"/>
      <c r="P373" s="94" t="str">
        <f>IFERROR(VLOOKUP(TRIM(O373), Collection!$B$2:$D$1001, 2, FALSE), "")</f>
        <v/>
      </c>
      <c r="Q373" s="190" t="str">
        <f>IFERROR(VLOOKUP(TRIM(O373), Collection!$B$2:$D$1001, 3, FALSE), "")</f>
        <v/>
      </c>
      <c r="R373" s="153" t="str">
        <f t="shared" si="37"/>
        <v/>
      </c>
      <c r="S373" s="151"/>
      <c r="T373" s="158"/>
      <c r="U373" s="137"/>
      <c r="V373" s="137"/>
      <c r="W373" s="156" t="str">
        <f t="shared" si="41"/>
        <v/>
      </c>
      <c r="X373" s="157"/>
      <c r="Y373" s="158"/>
      <c r="Z373" s="158"/>
      <c r="AA373" s="137" t="str">
        <f t="shared" ca="1" si="42"/>
        <v/>
      </c>
      <c r="AB373" s="137" t="str">
        <f t="shared" ca="1" si="38"/>
        <v/>
      </c>
      <c r="AC373" s="160" t="str">
        <f t="shared" ca="1" si="39"/>
        <v/>
      </c>
      <c r="AD373" s="159" t="str">
        <f t="shared" ca="1" si="40"/>
        <v/>
      </c>
      <c r="AE373" s="161"/>
      <c r="AF373" s="161"/>
      <c r="AG373" s="161"/>
      <c r="AH373" s="137"/>
      <c r="AI373" s="164" t="str">
        <f t="shared" si="43"/>
        <v/>
      </c>
      <c r="AJ373" s="164" t="str">
        <f>IF(AND(OpenPendingCases[[#This Row],[Sale Status	]]="Open Sale",OpenPendingCases[[#This Row],[Potential Same Month]]="High"),TEXT(OpenPendingCases[[#This Row],[Request Entry Date]], "[$-en-us]mmmm"),"")</f>
        <v/>
      </c>
      <c r="AK373" s="165" t="str">
        <f>IFERROR(VALUE(SUBSTITUTE(OpenPendingCases[[#This Row],[Price]]," AED","")),"")</f>
        <v/>
      </c>
      <c r="AL373" s="165" t="str">
        <f>IFERROR(VALUE(LEFT(OpenPendingCases[[#This Row],[Price]],FIND(" ",OpenPendingCases[[#This Row],[Price]])-1)),"")</f>
        <v/>
      </c>
      <c r="AM373" s="165" t="str">
        <f>IFERROR(VALUE(_xlfn.TEXTBEFORE(OpenPendingCases[[#This Row],[Price]]," AED")),"")</f>
        <v/>
      </c>
      <c r="AN373" s="165"/>
    </row>
    <row r="374" spans="3:40" ht="18" hidden="1" x14ac:dyDescent="0.35">
      <c r="C374" s="134"/>
      <c r="D374" s="137" t="str">
        <f>IF($U374="Open Sale", IF(MAX($D$4:D373)+1=0, "", MAX($D$4:D373)+1), "")</f>
        <v/>
      </c>
      <c r="E374" s="137" t="str">
        <f>IF($U374="Pending Allocation", IF(MAX($E$4:E373)+1=0, "", MAX($E$4:E373)+1), "")</f>
        <v/>
      </c>
      <c r="F374" s="137"/>
      <c r="G374" s="137"/>
      <c r="H374" s="150"/>
      <c r="I374" s="150"/>
      <c r="J374" s="68" t="str">
        <f>IF(OpenPendingCases[[#This Row],[Timepiece Reference ]]="", "", IF(_xlfn.XLOOKUP(OpenPendingCases[[#This Row],[Timepiece Reference ]], Table1[[Timepiece Reference ]], Table1[CRC STOCK], "Not Found")="YES", "CRC Stock", "Boutique Stock"))</f>
        <v/>
      </c>
      <c r="K374" s="137" t="str">
        <f>IF(OpenPendingCases[[#This Row],[Timepiece Reference ]]="", "", IF(_xlfn.XLOOKUP(OpenPendingCases[[#This Row],[Timepiece Reference ]], Table1[[Timepiece Reference ]], Table1[CRC STOCK], "Not Found")="YES", "CRC Stock", "Boutique Stock"))</f>
        <v/>
      </c>
      <c r="L374" s="143"/>
      <c r="M374" s="141"/>
      <c r="N374" s="137"/>
      <c r="O374" s="134"/>
      <c r="P374" s="94" t="str">
        <f>IFERROR(VLOOKUP(TRIM(O374), Collection!$B$2:$D$1001, 2, FALSE), "")</f>
        <v/>
      </c>
      <c r="Q374" s="190" t="str">
        <f>IFERROR(VLOOKUP(TRIM(O374), Collection!$B$2:$D$1001, 3, FALSE), "")</f>
        <v/>
      </c>
      <c r="R374" s="153" t="str">
        <f t="shared" si="37"/>
        <v/>
      </c>
      <c r="S374" s="151"/>
      <c r="T374" s="158"/>
      <c r="U374" s="137"/>
      <c r="V374" s="137"/>
      <c r="W374" s="156" t="str">
        <f t="shared" si="41"/>
        <v/>
      </c>
      <c r="X374" s="157"/>
      <c r="Y374" s="158"/>
      <c r="Z374" s="158"/>
      <c r="AA374" s="137" t="str">
        <f t="shared" ca="1" si="42"/>
        <v/>
      </c>
      <c r="AB374" s="137" t="str">
        <f t="shared" ca="1" si="38"/>
        <v/>
      </c>
      <c r="AC374" s="160" t="str">
        <f t="shared" ca="1" si="39"/>
        <v/>
      </c>
      <c r="AD374" s="159" t="str">
        <f t="shared" ca="1" si="40"/>
        <v/>
      </c>
      <c r="AE374" s="161"/>
      <c r="AF374" s="161"/>
      <c r="AG374" s="161"/>
      <c r="AH374" s="137"/>
      <c r="AI374" s="164" t="str">
        <f t="shared" si="43"/>
        <v/>
      </c>
      <c r="AJ374" s="164" t="str">
        <f>IF(AND(OpenPendingCases[[#This Row],[Sale Status	]]="Open Sale",OpenPendingCases[[#This Row],[Potential Same Month]]="High"),TEXT(OpenPendingCases[[#This Row],[Request Entry Date]], "[$-en-us]mmmm"),"")</f>
        <v/>
      </c>
      <c r="AK374" s="165" t="str">
        <f>IFERROR(VALUE(SUBSTITUTE(OpenPendingCases[[#This Row],[Price]]," AED","")),"")</f>
        <v/>
      </c>
      <c r="AL374" s="165" t="str">
        <f>IFERROR(VALUE(LEFT(OpenPendingCases[[#This Row],[Price]],FIND(" ",OpenPendingCases[[#This Row],[Price]])-1)),"")</f>
        <v/>
      </c>
      <c r="AM374" s="165" t="str">
        <f>IFERROR(VALUE(_xlfn.TEXTBEFORE(OpenPendingCases[[#This Row],[Price]]," AED")),"")</f>
        <v/>
      </c>
      <c r="AN374" s="165"/>
    </row>
    <row r="375" spans="3:40" ht="18" hidden="1" x14ac:dyDescent="0.35">
      <c r="C375" s="134"/>
      <c r="D375" s="137" t="str">
        <f>IF($U375="Open Sale", IF(MAX($D$4:D374)+1=0, "", MAX($D$4:D374)+1), "")</f>
        <v/>
      </c>
      <c r="E375" s="137" t="str">
        <f>IF($U375="Pending Allocation", IF(MAX($E$4:E374)+1=0, "", MAX($E$4:E374)+1), "")</f>
        <v/>
      </c>
      <c r="F375" s="137"/>
      <c r="G375" s="137"/>
      <c r="H375" s="150"/>
      <c r="I375" s="150"/>
      <c r="J375" s="68" t="str">
        <f>IF(OpenPendingCases[[#This Row],[Timepiece Reference ]]="", "", IF(_xlfn.XLOOKUP(OpenPendingCases[[#This Row],[Timepiece Reference ]], Table1[[Timepiece Reference ]], Table1[CRC STOCK], "Not Found")="YES", "CRC Stock", "Boutique Stock"))</f>
        <v/>
      </c>
      <c r="K375" s="137" t="str">
        <f>IF(OpenPendingCases[[#This Row],[Timepiece Reference ]]="", "", IF(_xlfn.XLOOKUP(OpenPendingCases[[#This Row],[Timepiece Reference ]], Table1[[Timepiece Reference ]], Table1[CRC STOCK], "Not Found")="YES", "CRC Stock", "Boutique Stock"))</f>
        <v/>
      </c>
      <c r="L375" s="143"/>
      <c r="M375" s="141"/>
      <c r="N375" s="137"/>
      <c r="O375" s="134"/>
      <c r="P375" s="94" t="str">
        <f>IFERROR(VLOOKUP(TRIM(O375), Collection!$B$2:$D$1001, 2, FALSE), "")</f>
        <v/>
      </c>
      <c r="Q375" s="190" t="str">
        <f>IFERROR(VLOOKUP(TRIM(O375), Collection!$B$2:$D$1001, 3, FALSE), "")</f>
        <v/>
      </c>
      <c r="R375" s="153" t="str">
        <f t="shared" si="37"/>
        <v/>
      </c>
      <c r="S375" s="151"/>
      <c r="T375" s="158"/>
      <c r="U375" s="137"/>
      <c r="V375" s="137"/>
      <c r="W375" s="156" t="str">
        <f t="shared" si="41"/>
        <v/>
      </c>
      <c r="X375" s="157"/>
      <c r="Y375" s="158"/>
      <c r="Z375" s="158"/>
      <c r="AA375" s="137" t="str">
        <f t="shared" ca="1" si="42"/>
        <v/>
      </c>
      <c r="AB375" s="137" t="str">
        <f t="shared" ca="1" si="38"/>
        <v/>
      </c>
      <c r="AC375" s="160" t="str">
        <f t="shared" ca="1" si="39"/>
        <v/>
      </c>
      <c r="AD375" s="159" t="str">
        <f t="shared" ca="1" si="40"/>
        <v/>
      </c>
      <c r="AE375" s="161"/>
      <c r="AF375" s="161"/>
      <c r="AG375" s="161"/>
      <c r="AH375" s="137"/>
      <c r="AI375" s="164" t="str">
        <f t="shared" si="43"/>
        <v/>
      </c>
      <c r="AJ375" s="164" t="str">
        <f>IF(AND(OpenPendingCases[[#This Row],[Sale Status	]]="Open Sale",OpenPendingCases[[#This Row],[Potential Same Month]]="High"),TEXT(OpenPendingCases[[#This Row],[Request Entry Date]], "[$-en-us]mmmm"),"")</f>
        <v/>
      </c>
      <c r="AK375" s="165" t="str">
        <f>IFERROR(VALUE(SUBSTITUTE(OpenPendingCases[[#This Row],[Price]]," AED","")),"")</f>
        <v/>
      </c>
      <c r="AL375" s="165" t="str">
        <f>IFERROR(VALUE(LEFT(OpenPendingCases[[#This Row],[Price]],FIND(" ",OpenPendingCases[[#This Row],[Price]])-1)),"")</f>
        <v/>
      </c>
      <c r="AM375" s="165" t="str">
        <f>IFERROR(VALUE(_xlfn.TEXTBEFORE(OpenPendingCases[[#This Row],[Price]]," AED")),"")</f>
        <v/>
      </c>
      <c r="AN375" s="165"/>
    </row>
    <row r="376" spans="3:40" ht="18" hidden="1" x14ac:dyDescent="0.35">
      <c r="C376" s="134"/>
      <c r="D376" s="137" t="str">
        <f>IF($U376="Open Sale", IF(MAX($D$4:D375)+1=0, "", MAX($D$4:D375)+1), "")</f>
        <v/>
      </c>
      <c r="E376" s="137" t="str">
        <f>IF($U376="Pending Allocation", IF(MAX($E$4:E375)+1=0, "", MAX($E$4:E375)+1), "")</f>
        <v/>
      </c>
      <c r="F376" s="137"/>
      <c r="G376" s="137"/>
      <c r="H376" s="150"/>
      <c r="I376" s="150"/>
      <c r="J376" s="68" t="str">
        <f>IF(OpenPendingCases[[#This Row],[Timepiece Reference ]]="", "", IF(_xlfn.XLOOKUP(OpenPendingCases[[#This Row],[Timepiece Reference ]], Table1[[Timepiece Reference ]], Table1[CRC STOCK], "Not Found")="YES", "CRC Stock", "Boutique Stock"))</f>
        <v/>
      </c>
      <c r="K376" s="137" t="str">
        <f>IF(OpenPendingCases[[#This Row],[Timepiece Reference ]]="", "", IF(_xlfn.XLOOKUP(OpenPendingCases[[#This Row],[Timepiece Reference ]], Table1[[Timepiece Reference ]], Table1[CRC STOCK], "Not Found")="YES", "CRC Stock", "Boutique Stock"))</f>
        <v/>
      </c>
      <c r="L376" s="143"/>
      <c r="M376" s="141"/>
      <c r="N376" s="137"/>
      <c r="O376" s="134"/>
      <c r="P376" s="94" t="str">
        <f>IFERROR(VLOOKUP(TRIM(O376), Collection!$B$2:$D$1001, 2, FALSE), "")</f>
        <v/>
      </c>
      <c r="Q376" s="190" t="str">
        <f>IFERROR(VLOOKUP(TRIM(O376), Collection!$B$2:$D$1001, 3, FALSE), "")</f>
        <v/>
      </c>
      <c r="R376" s="153" t="str">
        <f t="shared" si="37"/>
        <v/>
      </c>
      <c r="S376" s="151"/>
      <c r="T376" s="158"/>
      <c r="U376" s="137"/>
      <c r="V376" s="137"/>
      <c r="W376" s="156" t="str">
        <f t="shared" si="41"/>
        <v/>
      </c>
      <c r="X376" s="157"/>
      <c r="Y376" s="158"/>
      <c r="Z376" s="158"/>
      <c r="AA376" s="137" t="str">
        <f t="shared" ca="1" si="42"/>
        <v/>
      </c>
      <c r="AB376" s="137" t="str">
        <f t="shared" ca="1" si="38"/>
        <v/>
      </c>
      <c r="AC376" s="160" t="str">
        <f t="shared" ca="1" si="39"/>
        <v/>
      </c>
      <c r="AD376" s="159" t="str">
        <f t="shared" ca="1" si="40"/>
        <v/>
      </c>
      <c r="AE376" s="161"/>
      <c r="AF376" s="161"/>
      <c r="AG376" s="161"/>
      <c r="AH376" s="137"/>
      <c r="AI376" s="164" t="str">
        <f t="shared" si="43"/>
        <v/>
      </c>
      <c r="AJ376" s="164" t="str">
        <f>IF(AND(OpenPendingCases[[#This Row],[Sale Status	]]="Open Sale",OpenPendingCases[[#This Row],[Potential Same Month]]="High"),TEXT(OpenPendingCases[[#This Row],[Request Entry Date]], "[$-en-us]mmmm"),"")</f>
        <v/>
      </c>
      <c r="AK376" s="165" t="str">
        <f>IFERROR(VALUE(SUBSTITUTE(OpenPendingCases[[#This Row],[Price]]," AED","")),"")</f>
        <v/>
      </c>
      <c r="AL376" s="165" t="str">
        <f>IFERROR(VALUE(LEFT(OpenPendingCases[[#This Row],[Price]],FIND(" ",OpenPendingCases[[#This Row],[Price]])-1)),"")</f>
        <v/>
      </c>
      <c r="AM376" s="165" t="str">
        <f>IFERROR(VALUE(_xlfn.TEXTBEFORE(OpenPendingCases[[#This Row],[Price]]," AED")),"")</f>
        <v/>
      </c>
      <c r="AN376" s="165"/>
    </row>
    <row r="377" spans="3:40" ht="18" hidden="1" x14ac:dyDescent="0.35">
      <c r="C377" s="134"/>
      <c r="D377" s="137" t="str">
        <f>IF($U377="Open Sale", IF(MAX($D$4:D376)+1=0, "", MAX($D$4:D376)+1), "")</f>
        <v/>
      </c>
      <c r="E377" s="137" t="str">
        <f>IF($U377="Pending Allocation", IF(MAX($E$4:E376)+1=0, "", MAX($E$4:E376)+1), "")</f>
        <v/>
      </c>
      <c r="F377" s="137"/>
      <c r="G377" s="137"/>
      <c r="H377" s="150"/>
      <c r="I377" s="150"/>
      <c r="J377" s="68" t="str">
        <f>IF(OpenPendingCases[[#This Row],[Timepiece Reference ]]="", "", IF(_xlfn.XLOOKUP(OpenPendingCases[[#This Row],[Timepiece Reference ]], Table1[[Timepiece Reference ]], Table1[CRC STOCK], "Not Found")="YES", "CRC Stock", "Boutique Stock"))</f>
        <v/>
      </c>
      <c r="K377" s="137" t="str">
        <f>IF(OpenPendingCases[[#This Row],[Timepiece Reference ]]="", "", IF(_xlfn.XLOOKUP(OpenPendingCases[[#This Row],[Timepiece Reference ]], Table1[[Timepiece Reference ]], Table1[CRC STOCK], "Not Found")="YES", "CRC Stock", "Boutique Stock"))</f>
        <v/>
      </c>
      <c r="L377" s="143"/>
      <c r="M377" s="141"/>
      <c r="N377" s="137"/>
      <c r="O377" s="134"/>
      <c r="P377" s="94" t="str">
        <f>IFERROR(VLOOKUP(TRIM(O377), Collection!$B$2:$D$1001, 2, FALSE), "")</f>
        <v/>
      </c>
      <c r="Q377" s="190" t="str">
        <f>IFERROR(VLOOKUP(TRIM(O377), Collection!$B$2:$D$1001, 3, FALSE), "")</f>
        <v/>
      </c>
      <c r="R377" s="153" t="str">
        <f t="shared" si="37"/>
        <v/>
      </c>
      <c r="S377" s="151"/>
      <c r="T377" s="158"/>
      <c r="U377" s="137"/>
      <c r="V377" s="137"/>
      <c r="W377" s="156" t="str">
        <f t="shared" si="41"/>
        <v/>
      </c>
      <c r="X377" s="157"/>
      <c r="Y377" s="158"/>
      <c r="Z377" s="158"/>
      <c r="AA377" s="137" t="str">
        <f t="shared" ca="1" si="42"/>
        <v/>
      </c>
      <c r="AB377" s="137" t="str">
        <f t="shared" ca="1" si="38"/>
        <v/>
      </c>
      <c r="AC377" s="160" t="str">
        <f t="shared" ca="1" si="39"/>
        <v/>
      </c>
      <c r="AD377" s="159" t="str">
        <f t="shared" ca="1" si="40"/>
        <v/>
      </c>
      <c r="AE377" s="161"/>
      <c r="AF377" s="161"/>
      <c r="AG377" s="161"/>
      <c r="AH377" s="137"/>
      <c r="AI377" s="164" t="str">
        <f t="shared" si="43"/>
        <v/>
      </c>
      <c r="AJ377" s="164" t="str">
        <f>IF(AND(OpenPendingCases[[#This Row],[Sale Status	]]="Open Sale",OpenPendingCases[[#This Row],[Potential Same Month]]="High"),TEXT(OpenPendingCases[[#This Row],[Request Entry Date]], "[$-en-us]mmmm"),"")</f>
        <v/>
      </c>
      <c r="AK377" s="165" t="str">
        <f>IFERROR(VALUE(SUBSTITUTE(OpenPendingCases[[#This Row],[Price]]," AED","")),"")</f>
        <v/>
      </c>
      <c r="AL377" s="165" t="str">
        <f>IFERROR(VALUE(LEFT(OpenPendingCases[[#This Row],[Price]],FIND(" ",OpenPendingCases[[#This Row],[Price]])-1)),"")</f>
        <v/>
      </c>
      <c r="AM377" s="165" t="str">
        <f>IFERROR(VALUE(_xlfn.TEXTBEFORE(OpenPendingCases[[#This Row],[Price]]," AED")),"")</f>
        <v/>
      </c>
      <c r="AN377" s="165"/>
    </row>
    <row r="378" spans="3:40" ht="18" hidden="1" x14ac:dyDescent="0.35">
      <c r="C378" s="134"/>
      <c r="D378" s="137" t="str">
        <f>IF($U378="Open Sale", IF(MAX($D$4:D377)+1=0, "", MAX($D$4:D377)+1), "")</f>
        <v/>
      </c>
      <c r="E378" s="137" t="str">
        <f>IF($U378="Pending Allocation", IF(MAX($E$4:E377)+1=0, "", MAX($E$4:E377)+1), "")</f>
        <v/>
      </c>
      <c r="F378" s="137"/>
      <c r="G378" s="137"/>
      <c r="H378" s="150"/>
      <c r="I378" s="150"/>
      <c r="J378" s="68" t="str">
        <f>IF(OpenPendingCases[[#This Row],[Timepiece Reference ]]="", "", IF(_xlfn.XLOOKUP(OpenPendingCases[[#This Row],[Timepiece Reference ]], Table1[[Timepiece Reference ]], Table1[CRC STOCK], "Not Found")="YES", "CRC Stock", "Boutique Stock"))</f>
        <v/>
      </c>
      <c r="K378" s="137" t="str">
        <f>IF(OpenPendingCases[[#This Row],[Timepiece Reference ]]="", "", IF(_xlfn.XLOOKUP(OpenPendingCases[[#This Row],[Timepiece Reference ]], Table1[[Timepiece Reference ]], Table1[CRC STOCK], "Not Found")="YES", "CRC Stock", "Boutique Stock"))</f>
        <v/>
      </c>
      <c r="L378" s="143"/>
      <c r="M378" s="141"/>
      <c r="N378" s="137"/>
      <c r="O378" s="134"/>
      <c r="P378" s="94" t="str">
        <f>IFERROR(VLOOKUP(TRIM(O378), Collection!$B$2:$D$1001, 2, FALSE), "")</f>
        <v/>
      </c>
      <c r="Q378" s="190" t="str">
        <f>IFERROR(VLOOKUP(TRIM(O378), Collection!$B$2:$D$1001, 3, FALSE), "")</f>
        <v/>
      </c>
      <c r="R378" s="153" t="str">
        <f t="shared" si="37"/>
        <v/>
      </c>
      <c r="S378" s="151"/>
      <c r="T378" s="158"/>
      <c r="U378" s="137"/>
      <c r="V378" s="137"/>
      <c r="W378" s="156" t="str">
        <f t="shared" si="41"/>
        <v/>
      </c>
      <c r="X378" s="157"/>
      <c r="Y378" s="158"/>
      <c r="Z378" s="158"/>
      <c r="AA378" s="137" t="str">
        <f t="shared" ca="1" si="42"/>
        <v/>
      </c>
      <c r="AB378" s="137" t="str">
        <f t="shared" ca="1" si="38"/>
        <v/>
      </c>
      <c r="AC378" s="160" t="str">
        <f t="shared" ca="1" si="39"/>
        <v/>
      </c>
      <c r="AD378" s="159" t="str">
        <f t="shared" ca="1" si="40"/>
        <v/>
      </c>
      <c r="AE378" s="161"/>
      <c r="AF378" s="161"/>
      <c r="AG378" s="161"/>
      <c r="AH378" s="137"/>
      <c r="AI378" s="164" t="str">
        <f t="shared" si="43"/>
        <v/>
      </c>
      <c r="AJ378" s="164" t="str">
        <f>IF(AND(OpenPendingCases[[#This Row],[Sale Status	]]="Open Sale",OpenPendingCases[[#This Row],[Potential Same Month]]="High"),TEXT(OpenPendingCases[[#This Row],[Request Entry Date]], "[$-en-us]mmmm"),"")</f>
        <v/>
      </c>
      <c r="AK378" s="165" t="str">
        <f>IFERROR(VALUE(SUBSTITUTE(OpenPendingCases[[#This Row],[Price]]," AED","")),"")</f>
        <v/>
      </c>
      <c r="AL378" s="165" t="str">
        <f>IFERROR(VALUE(LEFT(OpenPendingCases[[#This Row],[Price]],FIND(" ",OpenPendingCases[[#This Row],[Price]])-1)),"")</f>
        <v/>
      </c>
      <c r="AM378" s="165" t="str">
        <f>IFERROR(VALUE(_xlfn.TEXTBEFORE(OpenPendingCases[[#This Row],[Price]]," AED")),"")</f>
        <v/>
      </c>
      <c r="AN378" s="165"/>
    </row>
    <row r="379" spans="3:40" ht="18" hidden="1" x14ac:dyDescent="0.35">
      <c r="C379" s="134"/>
      <c r="D379" s="137" t="str">
        <f>IF($U379="Open Sale", IF(MAX($D$4:D378)+1=0, "", MAX($D$4:D378)+1), "")</f>
        <v/>
      </c>
      <c r="E379" s="137" t="str">
        <f>IF($U379="Pending Allocation", IF(MAX($E$4:E378)+1=0, "", MAX($E$4:E378)+1), "")</f>
        <v/>
      </c>
      <c r="F379" s="137"/>
      <c r="G379" s="137"/>
      <c r="H379" s="150"/>
      <c r="I379" s="150"/>
      <c r="J379" s="68" t="str">
        <f>IF(OpenPendingCases[[#This Row],[Timepiece Reference ]]="", "", IF(_xlfn.XLOOKUP(OpenPendingCases[[#This Row],[Timepiece Reference ]], Table1[[Timepiece Reference ]], Table1[CRC STOCK], "Not Found")="YES", "CRC Stock", "Boutique Stock"))</f>
        <v/>
      </c>
      <c r="K379" s="137" t="str">
        <f>IF(OpenPendingCases[[#This Row],[Timepiece Reference ]]="", "", IF(_xlfn.XLOOKUP(OpenPendingCases[[#This Row],[Timepiece Reference ]], Table1[[Timepiece Reference ]], Table1[CRC STOCK], "Not Found")="YES", "CRC Stock", "Boutique Stock"))</f>
        <v/>
      </c>
      <c r="L379" s="143"/>
      <c r="M379" s="141"/>
      <c r="N379" s="137"/>
      <c r="O379" s="134"/>
      <c r="P379" s="94" t="str">
        <f>IFERROR(VLOOKUP(TRIM(O379), Collection!$B$2:$D$1001, 2, FALSE), "")</f>
        <v/>
      </c>
      <c r="Q379" s="190" t="str">
        <f>IFERROR(VLOOKUP(TRIM(O379), Collection!$B$2:$D$1001, 3, FALSE), "")</f>
        <v/>
      </c>
      <c r="R379" s="153" t="str">
        <f t="shared" si="37"/>
        <v/>
      </c>
      <c r="S379" s="151"/>
      <c r="T379" s="158"/>
      <c r="U379" s="137"/>
      <c r="V379" s="137"/>
      <c r="W379" s="156" t="str">
        <f t="shared" si="41"/>
        <v/>
      </c>
      <c r="X379" s="157"/>
      <c r="Y379" s="158"/>
      <c r="Z379" s="158"/>
      <c r="AA379" s="137" t="str">
        <f t="shared" ca="1" si="42"/>
        <v/>
      </c>
      <c r="AB379" s="137" t="str">
        <f t="shared" ca="1" si="38"/>
        <v/>
      </c>
      <c r="AC379" s="160" t="str">
        <f t="shared" ca="1" si="39"/>
        <v/>
      </c>
      <c r="AD379" s="159" t="str">
        <f t="shared" ca="1" si="40"/>
        <v/>
      </c>
      <c r="AE379" s="161"/>
      <c r="AF379" s="161"/>
      <c r="AG379" s="161"/>
      <c r="AH379" s="137"/>
      <c r="AI379" s="164" t="str">
        <f t="shared" si="43"/>
        <v/>
      </c>
      <c r="AJ379" s="164" t="str">
        <f>IF(AND(OpenPendingCases[[#This Row],[Sale Status	]]="Open Sale",OpenPendingCases[[#This Row],[Potential Same Month]]="High"),TEXT(OpenPendingCases[[#This Row],[Request Entry Date]], "[$-en-us]mmmm"),"")</f>
        <v/>
      </c>
      <c r="AK379" s="165" t="str">
        <f>IFERROR(VALUE(SUBSTITUTE(OpenPendingCases[[#This Row],[Price]]," AED","")),"")</f>
        <v/>
      </c>
      <c r="AL379" s="165" t="str">
        <f>IFERROR(VALUE(LEFT(OpenPendingCases[[#This Row],[Price]],FIND(" ",OpenPendingCases[[#This Row],[Price]])-1)),"")</f>
        <v/>
      </c>
      <c r="AM379" s="165" t="str">
        <f>IFERROR(VALUE(_xlfn.TEXTBEFORE(OpenPendingCases[[#This Row],[Price]]," AED")),"")</f>
        <v/>
      </c>
      <c r="AN379" s="165"/>
    </row>
    <row r="380" spans="3:40" ht="18" hidden="1" x14ac:dyDescent="0.35">
      <c r="C380" s="134"/>
      <c r="D380" s="137" t="str">
        <f>IF($U380="Open Sale", IF(MAX($D$4:D379)+1=0, "", MAX($D$4:D379)+1), "")</f>
        <v/>
      </c>
      <c r="E380" s="137" t="str">
        <f>IF($U380="Pending Allocation", IF(MAX($E$4:E379)+1=0, "", MAX($E$4:E379)+1), "")</f>
        <v/>
      </c>
      <c r="F380" s="137"/>
      <c r="G380" s="137"/>
      <c r="H380" s="150"/>
      <c r="I380" s="150"/>
      <c r="J380" s="68" t="str">
        <f>IF(OpenPendingCases[[#This Row],[Timepiece Reference ]]="", "", IF(_xlfn.XLOOKUP(OpenPendingCases[[#This Row],[Timepiece Reference ]], Table1[[Timepiece Reference ]], Table1[CRC STOCK], "Not Found")="YES", "CRC Stock", "Boutique Stock"))</f>
        <v/>
      </c>
      <c r="K380" s="137" t="str">
        <f>IF(OpenPendingCases[[#This Row],[Timepiece Reference ]]="", "", IF(_xlfn.XLOOKUP(OpenPendingCases[[#This Row],[Timepiece Reference ]], Table1[[Timepiece Reference ]], Table1[CRC STOCK], "Not Found")="YES", "CRC Stock", "Boutique Stock"))</f>
        <v/>
      </c>
      <c r="L380" s="143"/>
      <c r="M380" s="141"/>
      <c r="N380" s="137"/>
      <c r="O380" s="134"/>
      <c r="P380" s="94" t="str">
        <f>IFERROR(VLOOKUP(TRIM(O380), Collection!$B$2:$D$1001, 2, FALSE), "")</f>
        <v/>
      </c>
      <c r="Q380" s="190" t="str">
        <f>IFERROR(VLOOKUP(TRIM(O380), Collection!$B$2:$D$1001, 3, FALSE), "")</f>
        <v/>
      </c>
      <c r="R380" s="153" t="str">
        <f t="shared" si="37"/>
        <v/>
      </c>
      <c r="S380" s="151"/>
      <c r="T380" s="158"/>
      <c r="U380" s="137"/>
      <c r="V380" s="137"/>
      <c r="W380" s="156" t="str">
        <f t="shared" si="41"/>
        <v/>
      </c>
      <c r="X380" s="157"/>
      <c r="Y380" s="158"/>
      <c r="Z380" s="158"/>
      <c r="AA380" s="137" t="str">
        <f t="shared" ca="1" si="42"/>
        <v/>
      </c>
      <c r="AB380" s="137" t="str">
        <f t="shared" ca="1" si="38"/>
        <v/>
      </c>
      <c r="AC380" s="160" t="str">
        <f t="shared" ca="1" si="39"/>
        <v/>
      </c>
      <c r="AD380" s="159" t="str">
        <f t="shared" ca="1" si="40"/>
        <v/>
      </c>
      <c r="AE380" s="161"/>
      <c r="AF380" s="161"/>
      <c r="AG380" s="161"/>
      <c r="AH380" s="137"/>
      <c r="AI380" s="164" t="str">
        <f t="shared" si="43"/>
        <v/>
      </c>
      <c r="AJ380" s="164" t="str">
        <f>IF(AND(OpenPendingCases[[#This Row],[Sale Status	]]="Open Sale",OpenPendingCases[[#This Row],[Potential Same Month]]="High"),TEXT(OpenPendingCases[[#This Row],[Request Entry Date]], "[$-en-us]mmmm"),"")</f>
        <v/>
      </c>
      <c r="AK380" s="165" t="str">
        <f>IFERROR(VALUE(SUBSTITUTE(OpenPendingCases[[#This Row],[Price]]," AED","")),"")</f>
        <v/>
      </c>
      <c r="AL380" s="165" t="str">
        <f>IFERROR(VALUE(LEFT(OpenPendingCases[[#This Row],[Price]],FIND(" ",OpenPendingCases[[#This Row],[Price]])-1)),"")</f>
        <v/>
      </c>
      <c r="AM380" s="165" t="str">
        <f>IFERROR(VALUE(_xlfn.TEXTBEFORE(OpenPendingCases[[#This Row],[Price]]," AED")),"")</f>
        <v/>
      </c>
      <c r="AN380" s="165"/>
    </row>
    <row r="381" spans="3:40" ht="18" hidden="1" x14ac:dyDescent="0.35">
      <c r="C381" s="134"/>
      <c r="D381" s="137" t="str">
        <f>IF($U381="Open Sale", IF(MAX($D$4:D380)+1=0, "", MAX($D$4:D380)+1), "")</f>
        <v/>
      </c>
      <c r="E381" s="137" t="str">
        <f>IF($U381="Pending Allocation", IF(MAX($E$4:E380)+1=0, "", MAX($E$4:E380)+1), "")</f>
        <v/>
      </c>
      <c r="F381" s="137"/>
      <c r="G381" s="137"/>
      <c r="H381" s="150"/>
      <c r="I381" s="150"/>
      <c r="J381" s="68" t="str">
        <f>IF(OpenPendingCases[[#This Row],[Timepiece Reference ]]="", "", IF(_xlfn.XLOOKUP(OpenPendingCases[[#This Row],[Timepiece Reference ]], Table1[[Timepiece Reference ]], Table1[CRC STOCK], "Not Found")="YES", "CRC Stock", "Boutique Stock"))</f>
        <v/>
      </c>
      <c r="K381" s="137" t="str">
        <f>IF(OpenPendingCases[[#This Row],[Timepiece Reference ]]="", "", IF(_xlfn.XLOOKUP(OpenPendingCases[[#This Row],[Timepiece Reference ]], Table1[[Timepiece Reference ]], Table1[CRC STOCK], "Not Found")="YES", "CRC Stock", "Boutique Stock"))</f>
        <v/>
      </c>
      <c r="L381" s="143"/>
      <c r="M381" s="141"/>
      <c r="N381" s="137"/>
      <c r="O381" s="134"/>
      <c r="P381" s="94" t="str">
        <f>IFERROR(VLOOKUP(TRIM(O381), Collection!$B$2:$D$1001, 2, FALSE), "")</f>
        <v/>
      </c>
      <c r="Q381" s="190" t="str">
        <f>IFERROR(VLOOKUP(TRIM(O381), Collection!$B$2:$D$1001, 3, FALSE), "")</f>
        <v/>
      </c>
      <c r="R381" s="153" t="str">
        <f t="shared" si="37"/>
        <v/>
      </c>
      <c r="S381" s="151"/>
      <c r="T381" s="158"/>
      <c r="U381" s="137"/>
      <c r="V381" s="137"/>
      <c r="W381" s="156" t="str">
        <f t="shared" si="41"/>
        <v/>
      </c>
      <c r="X381" s="157"/>
      <c r="Y381" s="158"/>
      <c r="Z381" s="158"/>
      <c r="AA381" s="137" t="str">
        <f t="shared" ca="1" si="42"/>
        <v/>
      </c>
      <c r="AB381" s="137" t="str">
        <f t="shared" ca="1" si="38"/>
        <v/>
      </c>
      <c r="AC381" s="160" t="str">
        <f t="shared" ca="1" si="39"/>
        <v/>
      </c>
      <c r="AD381" s="159" t="str">
        <f t="shared" ca="1" si="40"/>
        <v/>
      </c>
      <c r="AE381" s="161"/>
      <c r="AF381" s="161"/>
      <c r="AG381" s="161"/>
      <c r="AH381" s="137"/>
      <c r="AI381" s="164" t="str">
        <f t="shared" si="43"/>
        <v/>
      </c>
      <c r="AJ381" s="164" t="str">
        <f>IF(AND(OpenPendingCases[[#This Row],[Sale Status	]]="Open Sale",OpenPendingCases[[#This Row],[Potential Same Month]]="High"),TEXT(OpenPendingCases[[#This Row],[Request Entry Date]], "[$-en-us]mmmm"),"")</f>
        <v/>
      </c>
      <c r="AK381" s="165" t="str">
        <f>IFERROR(VALUE(SUBSTITUTE(OpenPendingCases[[#This Row],[Price]]," AED","")),"")</f>
        <v/>
      </c>
      <c r="AL381" s="165" t="str">
        <f>IFERROR(VALUE(LEFT(OpenPendingCases[[#This Row],[Price]],FIND(" ",OpenPendingCases[[#This Row],[Price]])-1)),"")</f>
        <v/>
      </c>
      <c r="AM381" s="165" t="str">
        <f>IFERROR(VALUE(_xlfn.TEXTBEFORE(OpenPendingCases[[#This Row],[Price]]," AED")),"")</f>
        <v/>
      </c>
      <c r="AN381" s="165"/>
    </row>
    <row r="382" spans="3:40" ht="18" hidden="1" x14ac:dyDescent="0.35">
      <c r="C382" s="134"/>
      <c r="D382" s="137" t="str">
        <f>IF($U382="Open Sale", IF(MAX($D$4:D381)+1=0, "", MAX($D$4:D381)+1), "")</f>
        <v/>
      </c>
      <c r="E382" s="137" t="str">
        <f>IF($U382="Pending Allocation", IF(MAX($E$4:E381)+1=0, "", MAX($E$4:E381)+1), "")</f>
        <v/>
      </c>
      <c r="F382" s="137"/>
      <c r="G382" s="137"/>
      <c r="H382" s="150"/>
      <c r="I382" s="150"/>
      <c r="J382" s="68" t="str">
        <f>IF(OpenPendingCases[[#This Row],[Timepiece Reference ]]="", "", IF(_xlfn.XLOOKUP(OpenPendingCases[[#This Row],[Timepiece Reference ]], Table1[[Timepiece Reference ]], Table1[CRC STOCK], "Not Found")="YES", "CRC Stock", "Boutique Stock"))</f>
        <v/>
      </c>
      <c r="K382" s="137" t="str">
        <f>IF(OpenPendingCases[[#This Row],[Timepiece Reference ]]="", "", IF(_xlfn.XLOOKUP(OpenPendingCases[[#This Row],[Timepiece Reference ]], Table1[[Timepiece Reference ]], Table1[CRC STOCK], "Not Found")="YES", "CRC Stock", "Boutique Stock"))</f>
        <v/>
      </c>
      <c r="L382" s="143"/>
      <c r="M382" s="141"/>
      <c r="N382" s="137"/>
      <c r="O382" s="134"/>
      <c r="P382" s="94" t="str">
        <f>IFERROR(VLOOKUP(TRIM(O382), Collection!$B$2:$D$1001, 2, FALSE), "")</f>
        <v/>
      </c>
      <c r="Q382" s="190" t="str">
        <f>IFERROR(VLOOKUP(TRIM(O382), Collection!$B$2:$D$1001, 3, FALSE), "")</f>
        <v/>
      </c>
      <c r="R382" s="153" t="str">
        <f t="shared" si="37"/>
        <v/>
      </c>
      <c r="S382" s="151"/>
      <c r="T382" s="158"/>
      <c r="U382" s="137"/>
      <c r="V382" s="137"/>
      <c r="W382" s="156" t="str">
        <f t="shared" si="41"/>
        <v/>
      </c>
      <c r="X382" s="157"/>
      <c r="Y382" s="158"/>
      <c r="Z382" s="158"/>
      <c r="AA382" s="137" t="str">
        <f t="shared" ca="1" si="42"/>
        <v/>
      </c>
      <c r="AB382" s="137" t="str">
        <f t="shared" ca="1" si="38"/>
        <v/>
      </c>
      <c r="AC382" s="160" t="str">
        <f t="shared" ca="1" si="39"/>
        <v/>
      </c>
      <c r="AD382" s="159" t="str">
        <f t="shared" ca="1" si="40"/>
        <v/>
      </c>
      <c r="AE382" s="161"/>
      <c r="AF382" s="161"/>
      <c r="AG382" s="161"/>
      <c r="AH382" s="137"/>
      <c r="AI382" s="164" t="str">
        <f t="shared" si="43"/>
        <v/>
      </c>
      <c r="AJ382" s="164" t="str">
        <f>IF(AND(OpenPendingCases[[#This Row],[Sale Status	]]="Open Sale",OpenPendingCases[[#This Row],[Potential Same Month]]="High"),TEXT(OpenPendingCases[[#This Row],[Request Entry Date]], "[$-en-us]mmmm"),"")</f>
        <v/>
      </c>
      <c r="AK382" s="165" t="str">
        <f>IFERROR(VALUE(SUBSTITUTE(OpenPendingCases[[#This Row],[Price]]," AED","")),"")</f>
        <v/>
      </c>
      <c r="AL382" s="165" t="str">
        <f>IFERROR(VALUE(LEFT(OpenPendingCases[[#This Row],[Price]],FIND(" ",OpenPendingCases[[#This Row],[Price]])-1)),"")</f>
        <v/>
      </c>
      <c r="AM382" s="165" t="str">
        <f>IFERROR(VALUE(_xlfn.TEXTBEFORE(OpenPendingCases[[#This Row],[Price]]," AED")),"")</f>
        <v/>
      </c>
      <c r="AN382" s="165"/>
    </row>
    <row r="383" spans="3:40" ht="18" hidden="1" x14ac:dyDescent="0.35">
      <c r="C383" s="134"/>
      <c r="D383" s="137" t="str">
        <f>IF($U383="Open Sale", IF(MAX($D$4:D382)+1=0, "", MAX($D$4:D382)+1), "")</f>
        <v/>
      </c>
      <c r="E383" s="137" t="str">
        <f>IF($U383="Pending Allocation", IF(MAX($E$4:E382)+1=0, "", MAX($E$4:E382)+1), "")</f>
        <v/>
      </c>
      <c r="F383" s="137"/>
      <c r="G383" s="137"/>
      <c r="H383" s="150"/>
      <c r="I383" s="150"/>
      <c r="J383" s="68" t="str">
        <f>IF(OpenPendingCases[[#This Row],[Timepiece Reference ]]="", "", IF(_xlfn.XLOOKUP(OpenPendingCases[[#This Row],[Timepiece Reference ]], Table1[[Timepiece Reference ]], Table1[CRC STOCK], "Not Found")="YES", "CRC Stock", "Boutique Stock"))</f>
        <v/>
      </c>
      <c r="K383" s="137" t="str">
        <f>IF(OpenPendingCases[[#This Row],[Timepiece Reference ]]="", "", IF(_xlfn.XLOOKUP(OpenPendingCases[[#This Row],[Timepiece Reference ]], Table1[[Timepiece Reference ]], Table1[CRC STOCK], "Not Found")="YES", "CRC Stock", "Boutique Stock"))</f>
        <v/>
      </c>
      <c r="L383" s="143"/>
      <c r="M383" s="141"/>
      <c r="N383" s="137"/>
      <c r="O383" s="134"/>
      <c r="P383" s="94" t="str">
        <f>IFERROR(VLOOKUP(TRIM(O383), Collection!$B$2:$D$1001, 2, FALSE), "")</f>
        <v/>
      </c>
      <c r="Q383" s="190" t="str">
        <f>IFERROR(VLOOKUP(TRIM(O383), Collection!$B$2:$D$1001, 3, FALSE), "")</f>
        <v/>
      </c>
      <c r="R383" s="153" t="str">
        <f t="shared" si="37"/>
        <v/>
      </c>
      <c r="S383" s="151"/>
      <c r="T383" s="158"/>
      <c r="U383" s="137"/>
      <c r="V383" s="137"/>
      <c r="W383" s="156" t="str">
        <f t="shared" si="41"/>
        <v/>
      </c>
      <c r="X383" s="157"/>
      <c r="Y383" s="158"/>
      <c r="Z383" s="158"/>
      <c r="AA383" s="137" t="str">
        <f t="shared" ca="1" si="42"/>
        <v/>
      </c>
      <c r="AB383" s="137" t="str">
        <f t="shared" ca="1" si="38"/>
        <v/>
      </c>
      <c r="AC383" s="160" t="str">
        <f t="shared" ca="1" si="39"/>
        <v/>
      </c>
      <c r="AD383" s="159" t="str">
        <f t="shared" ca="1" si="40"/>
        <v/>
      </c>
      <c r="AE383" s="161"/>
      <c r="AF383" s="161"/>
      <c r="AG383" s="161"/>
      <c r="AH383" s="137"/>
      <c r="AI383" s="164" t="str">
        <f t="shared" si="43"/>
        <v/>
      </c>
      <c r="AJ383" s="164" t="str">
        <f>IF(AND(OpenPendingCases[[#This Row],[Sale Status	]]="Open Sale",OpenPendingCases[[#This Row],[Potential Same Month]]="High"),TEXT(OpenPendingCases[[#This Row],[Request Entry Date]], "[$-en-us]mmmm"),"")</f>
        <v/>
      </c>
      <c r="AK383" s="165" t="str">
        <f>IFERROR(VALUE(SUBSTITUTE(OpenPendingCases[[#This Row],[Price]]," AED","")),"")</f>
        <v/>
      </c>
      <c r="AL383" s="165" t="str">
        <f>IFERROR(VALUE(LEFT(OpenPendingCases[[#This Row],[Price]],FIND(" ",OpenPendingCases[[#This Row],[Price]])-1)),"")</f>
        <v/>
      </c>
      <c r="AM383" s="165" t="str">
        <f>IFERROR(VALUE(_xlfn.TEXTBEFORE(OpenPendingCases[[#This Row],[Price]]," AED")),"")</f>
        <v/>
      </c>
      <c r="AN383" s="165"/>
    </row>
    <row r="384" spans="3:40" ht="18" hidden="1" x14ac:dyDescent="0.35">
      <c r="C384" s="134"/>
      <c r="D384" s="137" t="str">
        <f>IF($U384="Open Sale", IF(MAX($D$4:D383)+1=0, "", MAX($D$4:D383)+1), "")</f>
        <v/>
      </c>
      <c r="E384" s="137" t="str">
        <f>IF($U384="Pending Allocation", IF(MAX($E$4:E383)+1=0, "", MAX($E$4:E383)+1), "")</f>
        <v/>
      </c>
      <c r="F384" s="137"/>
      <c r="G384" s="137"/>
      <c r="H384" s="150"/>
      <c r="I384" s="150"/>
      <c r="J384" s="68" t="str">
        <f>IF(OpenPendingCases[[#This Row],[Timepiece Reference ]]="", "", IF(_xlfn.XLOOKUP(OpenPendingCases[[#This Row],[Timepiece Reference ]], Table1[[Timepiece Reference ]], Table1[CRC STOCK], "Not Found")="YES", "CRC Stock", "Boutique Stock"))</f>
        <v/>
      </c>
      <c r="K384" s="137" t="str">
        <f>IF(OpenPendingCases[[#This Row],[Timepiece Reference ]]="", "", IF(_xlfn.XLOOKUP(OpenPendingCases[[#This Row],[Timepiece Reference ]], Table1[[Timepiece Reference ]], Table1[CRC STOCK], "Not Found")="YES", "CRC Stock", "Boutique Stock"))</f>
        <v/>
      </c>
      <c r="L384" s="143"/>
      <c r="M384" s="141"/>
      <c r="N384" s="137"/>
      <c r="O384" s="134"/>
      <c r="P384" s="94" t="str">
        <f>IFERROR(VLOOKUP(TRIM(O384), Collection!$B$2:$D$1001, 2, FALSE), "")</f>
        <v/>
      </c>
      <c r="Q384" s="190" t="str">
        <f>IFERROR(VLOOKUP(TRIM(O384), Collection!$B$2:$D$1001, 3, FALSE), "")</f>
        <v/>
      </c>
      <c r="R384" s="153" t="str">
        <f t="shared" si="37"/>
        <v/>
      </c>
      <c r="S384" s="151"/>
      <c r="T384" s="158"/>
      <c r="U384" s="137"/>
      <c r="V384" s="137"/>
      <c r="W384" s="156" t="str">
        <f t="shared" si="41"/>
        <v/>
      </c>
      <c r="X384" s="157"/>
      <c r="Y384" s="158"/>
      <c r="Z384" s="158"/>
      <c r="AA384" s="137" t="str">
        <f t="shared" ca="1" si="42"/>
        <v/>
      </c>
      <c r="AB384" s="137" t="str">
        <f t="shared" ca="1" si="38"/>
        <v/>
      </c>
      <c r="AC384" s="160" t="str">
        <f t="shared" ca="1" si="39"/>
        <v/>
      </c>
      <c r="AD384" s="159" t="str">
        <f t="shared" ca="1" si="40"/>
        <v/>
      </c>
      <c r="AE384" s="161"/>
      <c r="AF384" s="161"/>
      <c r="AG384" s="161"/>
      <c r="AH384" s="137"/>
      <c r="AI384" s="164" t="str">
        <f t="shared" si="43"/>
        <v/>
      </c>
      <c r="AJ384" s="164" t="str">
        <f>IF(AND(OpenPendingCases[[#This Row],[Sale Status	]]="Open Sale",OpenPendingCases[[#This Row],[Potential Same Month]]="High"),TEXT(OpenPendingCases[[#This Row],[Request Entry Date]], "[$-en-us]mmmm"),"")</f>
        <v/>
      </c>
      <c r="AK384" s="165" t="str">
        <f>IFERROR(VALUE(SUBSTITUTE(OpenPendingCases[[#This Row],[Price]]," AED","")),"")</f>
        <v/>
      </c>
      <c r="AL384" s="165" t="str">
        <f>IFERROR(VALUE(LEFT(OpenPendingCases[[#This Row],[Price]],FIND(" ",OpenPendingCases[[#This Row],[Price]])-1)),"")</f>
        <v/>
      </c>
      <c r="AM384" s="165" t="str">
        <f>IFERROR(VALUE(_xlfn.TEXTBEFORE(OpenPendingCases[[#This Row],[Price]]," AED")),"")</f>
        <v/>
      </c>
      <c r="AN384" s="165"/>
    </row>
    <row r="385" spans="3:40" ht="18" hidden="1" x14ac:dyDescent="0.35">
      <c r="C385" s="134"/>
      <c r="D385" s="137" t="str">
        <f>IF($U385="Open Sale", IF(MAX($D$4:D384)+1=0, "", MAX($D$4:D384)+1), "")</f>
        <v/>
      </c>
      <c r="E385" s="137" t="str">
        <f>IF($U385="Pending Allocation", IF(MAX($E$4:E384)+1=0, "", MAX($E$4:E384)+1), "")</f>
        <v/>
      </c>
      <c r="F385" s="137"/>
      <c r="G385" s="137"/>
      <c r="H385" s="150"/>
      <c r="I385" s="150"/>
      <c r="J385" s="68" t="str">
        <f>IF(OpenPendingCases[[#This Row],[Timepiece Reference ]]="", "", IF(_xlfn.XLOOKUP(OpenPendingCases[[#This Row],[Timepiece Reference ]], Table1[[Timepiece Reference ]], Table1[CRC STOCK], "Not Found")="YES", "CRC Stock", "Boutique Stock"))</f>
        <v/>
      </c>
      <c r="K385" s="137" t="str">
        <f>IF(OpenPendingCases[[#This Row],[Timepiece Reference ]]="", "", IF(_xlfn.XLOOKUP(OpenPendingCases[[#This Row],[Timepiece Reference ]], Table1[[Timepiece Reference ]], Table1[CRC STOCK], "Not Found")="YES", "CRC Stock", "Boutique Stock"))</f>
        <v/>
      </c>
      <c r="L385" s="143"/>
      <c r="M385" s="141"/>
      <c r="N385" s="137"/>
      <c r="O385" s="134"/>
      <c r="P385" s="94" t="str">
        <f>IFERROR(VLOOKUP(TRIM(O385), Collection!$B$2:$D$1001, 2, FALSE), "")</f>
        <v/>
      </c>
      <c r="Q385" s="190" t="str">
        <f>IFERROR(VLOOKUP(TRIM(O385), Collection!$B$2:$D$1001, 3, FALSE), "")</f>
        <v/>
      </c>
      <c r="R385" s="153" t="str">
        <f t="shared" si="37"/>
        <v/>
      </c>
      <c r="S385" s="151"/>
      <c r="T385" s="158"/>
      <c r="U385" s="137"/>
      <c r="V385" s="137"/>
      <c r="W385" s="156" t="str">
        <f t="shared" si="41"/>
        <v/>
      </c>
      <c r="X385" s="157"/>
      <c r="Y385" s="158"/>
      <c r="Z385" s="158"/>
      <c r="AA385" s="137" t="str">
        <f t="shared" ca="1" si="42"/>
        <v/>
      </c>
      <c r="AB385" s="137" t="str">
        <f t="shared" ca="1" si="38"/>
        <v/>
      </c>
      <c r="AC385" s="160" t="str">
        <f t="shared" ca="1" si="39"/>
        <v/>
      </c>
      <c r="AD385" s="159" t="str">
        <f t="shared" ca="1" si="40"/>
        <v/>
      </c>
      <c r="AE385" s="161"/>
      <c r="AF385" s="161"/>
      <c r="AG385" s="161"/>
      <c r="AH385" s="137"/>
      <c r="AI385" s="164" t="str">
        <f t="shared" si="43"/>
        <v/>
      </c>
      <c r="AJ385" s="164" t="str">
        <f>IF(AND(OpenPendingCases[[#This Row],[Sale Status	]]="Open Sale",OpenPendingCases[[#This Row],[Potential Same Month]]="High"),TEXT(OpenPendingCases[[#This Row],[Request Entry Date]], "[$-en-us]mmmm"),"")</f>
        <v/>
      </c>
      <c r="AK385" s="165" t="str">
        <f>IFERROR(VALUE(SUBSTITUTE(OpenPendingCases[[#This Row],[Price]]," AED","")),"")</f>
        <v/>
      </c>
      <c r="AL385" s="165" t="str">
        <f>IFERROR(VALUE(LEFT(OpenPendingCases[[#This Row],[Price]],FIND(" ",OpenPendingCases[[#This Row],[Price]])-1)),"")</f>
        <v/>
      </c>
      <c r="AM385" s="165" t="str">
        <f>IFERROR(VALUE(_xlfn.TEXTBEFORE(OpenPendingCases[[#This Row],[Price]]," AED")),"")</f>
        <v/>
      </c>
      <c r="AN385" s="165"/>
    </row>
    <row r="386" spans="3:40" ht="18" hidden="1" x14ac:dyDescent="0.35">
      <c r="C386" s="134"/>
      <c r="D386" s="137" t="str">
        <f>IF($U386="Open Sale", IF(MAX($D$4:D385)+1=0, "", MAX($D$4:D385)+1), "")</f>
        <v/>
      </c>
      <c r="E386" s="137" t="str">
        <f>IF($U386="Pending Allocation", IF(MAX($E$4:E385)+1=0, "", MAX($E$4:E385)+1), "")</f>
        <v/>
      </c>
      <c r="F386" s="137"/>
      <c r="G386" s="137"/>
      <c r="H386" s="150"/>
      <c r="I386" s="150"/>
      <c r="J386" s="68" t="str">
        <f>IF(OpenPendingCases[[#This Row],[Timepiece Reference ]]="", "", IF(_xlfn.XLOOKUP(OpenPendingCases[[#This Row],[Timepiece Reference ]], Table1[[Timepiece Reference ]], Table1[CRC STOCK], "Not Found")="YES", "CRC Stock", "Boutique Stock"))</f>
        <v/>
      </c>
      <c r="K386" s="137" t="str">
        <f>IF(OpenPendingCases[[#This Row],[Timepiece Reference ]]="", "", IF(_xlfn.XLOOKUP(OpenPendingCases[[#This Row],[Timepiece Reference ]], Table1[[Timepiece Reference ]], Table1[CRC STOCK], "Not Found")="YES", "CRC Stock", "Boutique Stock"))</f>
        <v/>
      </c>
      <c r="L386" s="143"/>
      <c r="M386" s="141"/>
      <c r="N386" s="137"/>
      <c r="O386" s="134"/>
      <c r="P386" s="94" t="str">
        <f>IFERROR(VLOOKUP(TRIM(O386), Collection!$B$2:$D$1001, 2, FALSE), "")</f>
        <v/>
      </c>
      <c r="Q386" s="190" t="str">
        <f>IFERROR(VLOOKUP(TRIM(O386), Collection!$B$2:$D$1001, 3, FALSE), "")</f>
        <v/>
      </c>
      <c r="R386" s="153" t="str">
        <f t="shared" si="37"/>
        <v/>
      </c>
      <c r="S386" s="151"/>
      <c r="T386" s="158"/>
      <c r="U386" s="137"/>
      <c r="V386" s="137"/>
      <c r="W386" s="156" t="str">
        <f t="shared" si="41"/>
        <v/>
      </c>
      <c r="X386" s="157"/>
      <c r="Y386" s="158"/>
      <c r="Z386" s="158"/>
      <c r="AA386" s="137" t="str">
        <f t="shared" ca="1" si="42"/>
        <v/>
      </c>
      <c r="AB386" s="137" t="str">
        <f t="shared" ca="1" si="38"/>
        <v/>
      </c>
      <c r="AC386" s="160" t="str">
        <f t="shared" ca="1" si="39"/>
        <v/>
      </c>
      <c r="AD386" s="159" t="str">
        <f t="shared" ca="1" si="40"/>
        <v/>
      </c>
      <c r="AE386" s="161"/>
      <c r="AF386" s="161"/>
      <c r="AG386" s="161"/>
      <c r="AH386" s="137"/>
      <c r="AI386" s="164" t="str">
        <f t="shared" si="43"/>
        <v/>
      </c>
      <c r="AJ386" s="164" t="str">
        <f>IF(AND(OpenPendingCases[[#This Row],[Sale Status	]]="Open Sale",OpenPendingCases[[#This Row],[Potential Same Month]]="High"),TEXT(OpenPendingCases[[#This Row],[Request Entry Date]], "[$-en-us]mmmm"),"")</f>
        <v/>
      </c>
      <c r="AK386" s="165" t="str">
        <f>IFERROR(VALUE(SUBSTITUTE(OpenPendingCases[[#This Row],[Price]]," AED","")),"")</f>
        <v/>
      </c>
      <c r="AL386" s="165" t="str">
        <f>IFERROR(VALUE(LEFT(OpenPendingCases[[#This Row],[Price]],FIND(" ",OpenPendingCases[[#This Row],[Price]])-1)),"")</f>
        <v/>
      </c>
      <c r="AM386" s="165" t="str">
        <f>IFERROR(VALUE(_xlfn.TEXTBEFORE(OpenPendingCases[[#This Row],[Price]]," AED")),"")</f>
        <v/>
      </c>
      <c r="AN386" s="165"/>
    </row>
    <row r="387" spans="3:40" ht="18" hidden="1" x14ac:dyDescent="0.35">
      <c r="C387" s="134"/>
      <c r="D387" s="137" t="str">
        <f>IF($U387="Open Sale", IF(MAX($D$4:D386)+1=0, "", MAX($D$4:D386)+1), "")</f>
        <v/>
      </c>
      <c r="E387" s="137" t="str">
        <f>IF($U387="Pending Allocation", IF(MAX($E$4:E386)+1=0, "", MAX($E$4:E386)+1), "")</f>
        <v/>
      </c>
      <c r="F387" s="137"/>
      <c r="G387" s="137"/>
      <c r="H387" s="150"/>
      <c r="I387" s="150"/>
      <c r="J387" s="68" t="str">
        <f>IF(OpenPendingCases[[#This Row],[Timepiece Reference ]]="", "", IF(_xlfn.XLOOKUP(OpenPendingCases[[#This Row],[Timepiece Reference ]], Table1[[Timepiece Reference ]], Table1[CRC STOCK], "Not Found")="YES", "CRC Stock", "Boutique Stock"))</f>
        <v/>
      </c>
      <c r="K387" s="137" t="str">
        <f>IF(OpenPendingCases[[#This Row],[Timepiece Reference ]]="", "", IF(_xlfn.XLOOKUP(OpenPendingCases[[#This Row],[Timepiece Reference ]], Table1[[Timepiece Reference ]], Table1[CRC STOCK], "Not Found")="YES", "CRC Stock", "Boutique Stock"))</f>
        <v/>
      </c>
      <c r="L387" s="143"/>
      <c r="M387" s="141"/>
      <c r="N387" s="137"/>
      <c r="O387" s="134"/>
      <c r="P387" s="94" t="str">
        <f>IFERROR(VLOOKUP(TRIM(O387), Collection!$B$2:$D$1001, 2, FALSE), "")</f>
        <v/>
      </c>
      <c r="Q387" s="190" t="str">
        <f>IFERROR(VLOOKUP(TRIM(O387), Collection!$B$2:$D$1001, 3, FALSE), "")</f>
        <v/>
      </c>
      <c r="R387" s="153" t="str">
        <f t="shared" ref="R387:R450" si="44">IFERROR(VALUE(SUBSTITUTE(SUBSTITUTE(Q387, "Price", ""), "AED", "")), "")</f>
        <v/>
      </c>
      <c r="S387" s="151"/>
      <c r="T387" s="158"/>
      <c r="U387" s="137"/>
      <c r="V387" s="137"/>
      <c r="W387" s="156" t="str">
        <f t="shared" si="41"/>
        <v/>
      </c>
      <c r="X387" s="157"/>
      <c r="Y387" s="158"/>
      <c r="Z387" s="158"/>
      <c r="AA387" s="137" t="str">
        <f t="shared" ca="1" si="42"/>
        <v/>
      </c>
      <c r="AB387" s="137" t="str">
        <f t="shared" ref="AB387:AB450" ca="1" si="45">IF(H387="", "", IF(OR(U387="Pending", U387="Pending Allocation"), CONCATENATE(TODAY()-H387, " Days"), IF(U387="Closed", "", "")))</f>
        <v/>
      </c>
      <c r="AC387" s="160" t="str">
        <f t="shared" ref="AC387:AC450" ca="1" si="46">IF(U387="Pending Allocation", IF(I387="", "", TODAY()-I387), "")</f>
        <v/>
      </c>
      <c r="AD387" s="159" t="str">
        <f t="shared" ref="AD387:AD450" ca="1" si="47">IF(U387="Open Sale", TEXT(TODAY()-I387, "0"),
   IF(U387="Pending", "",
      IF(U387="Closed Sale", "", "")))</f>
        <v/>
      </c>
      <c r="AE387" s="161"/>
      <c r="AF387" s="161"/>
      <c r="AG387" s="161"/>
      <c r="AH387" s="137"/>
      <c r="AI387" s="164" t="str">
        <f t="shared" si="43"/>
        <v/>
      </c>
      <c r="AJ387" s="164" t="str">
        <f>IF(AND(OpenPendingCases[[#This Row],[Sale Status	]]="Open Sale",OpenPendingCases[[#This Row],[Potential Same Month]]="High"),TEXT(OpenPendingCases[[#This Row],[Request Entry Date]], "[$-en-us]mmmm"),"")</f>
        <v/>
      </c>
      <c r="AK387" s="165" t="str">
        <f>IFERROR(VALUE(SUBSTITUTE(OpenPendingCases[[#This Row],[Price]]," AED","")),"")</f>
        <v/>
      </c>
      <c r="AL387" s="165" t="str">
        <f>IFERROR(VALUE(LEFT(OpenPendingCases[[#This Row],[Price]],FIND(" ",OpenPendingCases[[#This Row],[Price]])-1)),"")</f>
        <v/>
      </c>
      <c r="AM387" s="165" t="str">
        <f>IFERROR(VALUE(_xlfn.TEXTBEFORE(OpenPendingCases[[#This Row],[Price]]," AED")),"")</f>
        <v/>
      </c>
      <c r="AN387" s="165"/>
    </row>
    <row r="388" spans="3:40" ht="18" hidden="1" x14ac:dyDescent="0.35">
      <c r="C388" s="134"/>
      <c r="D388" s="137" t="str">
        <f>IF($U388="Open Sale", IF(MAX($D$4:D387)+1=0, "", MAX($D$4:D387)+1), "")</f>
        <v/>
      </c>
      <c r="E388" s="137" t="str">
        <f>IF($U388="Pending Allocation", IF(MAX($E$4:E387)+1=0, "", MAX($E$4:E387)+1), "")</f>
        <v/>
      </c>
      <c r="F388" s="137"/>
      <c r="G388" s="137"/>
      <c r="H388" s="150"/>
      <c r="I388" s="150"/>
      <c r="J388" s="68" t="str">
        <f>IF(OpenPendingCases[[#This Row],[Timepiece Reference ]]="", "", IF(_xlfn.XLOOKUP(OpenPendingCases[[#This Row],[Timepiece Reference ]], Table1[[Timepiece Reference ]], Table1[CRC STOCK], "Not Found")="YES", "CRC Stock", "Boutique Stock"))</f>
        <v/>
      </c>
      <c r="K388" s="137" t="str">
        <f>IF(OpenPendingCases[[#This Row],[Timepiece Reference ]]="", "", IF(_xlfn.XLOOKUP(OpenPendingCases[[#This Row],[Timepiece Reference ]], Table1[[Timepiece Reference ]], Table1[CRC STOCK], "Not Found")="YES", "CRC Stock", "Boutique Stock"))</f>
        <v/>
      </c>
      <c r="L388" s="143"/>
      <c r="M388" s="141"/>
      <c r="N388" s="137"/>
      <c r="O388" s="134"/>
      <c r="P388" s="94" t="str">
        <f>IFERROR(VLOOKUP(TRIM(O388), Collection!$B$2:$D$1001, 2, FALSE), "")</f>
        <v/>
      </c>
      <c r="Q388" s="190" t="str">
        <f>IFERROR(VLOOKUP(TRIM(O388), Collection!$B$2:$D$1001, 3, FALSE), "")</f>
        <v/>
      </c>
      <c r="R388" s="153" t="str">
        <f t="shared" si="44"/>
        <v/>
      </c>
      <c r="S388" s="151"/>
      <c r="T388" s="158"/>
      <c r="U388" s="137"/>
      <c r="V388" s="137"/>
      <c r="W388" s="156" t="str">
        <f t="shared" ref="W388:W451" si="48" xml:space="preserve"> IF(Z388 = "",
     "",
     TEXT(Z388, "mmmm"))</f>
        <v/>
      </c>
      <c r="X388" s="157"/>
      <c r="Y388" s="158"/>
      <c r="Z388" s="158"/>
      <c r="AA388" s="137" t="str">
        <f t="shared" ref="AA388:AA451" ca="1" si="49">IF(H388="", "", IF(U388="Open Sale", IF(TODAY()-H388=0, "0 Days", TEXT(TODAY()-H388, "0") &amp; " Days"), IF(U388="Closed Sale", AA388, "")))</f>
        <v/>
      </c>
      <c r="AB388" s="137" t="str">
        <f t="shared" ca="1" si="45"/>
        <v/>
      </c>
      <c r="AC388" s="160" t="str">
        <f t="shared" ca="1" si="46"/>
        <v/>
      </c>
      <c r="AD388" s="159" t="str">
        <f t="shared" ca="1" si="47"/>
        <v/>
      </c>
      <c r="AE388" s="161"/>
      <c r="AF388" s="161"/>
      <c r="AG388" s="161"/>
      <c r="AH388" s="137"/>
      <c r="AI388" s="164" t="str">
        <f t="shared" si="43"/>
        <v/>
      </c>
      <c r="AJ388" s="164" t="str">
        <f>IF(AND(OpenPendingCases[[#This Row],[Sale Status	]]="Open Sale",OpenPendingCases[[#This Row],[Potential Same Month]]="High"),TEXT(OpenPendingCases[[#This Row],[Request Entry Date]], "[$-en-us]mmmm"),"")</f>
        <v/>
      </c>
      <c r="AK388" s="165" t="str">
        <f>IFERROR(VALUE(SUBSTITUTE(OpenPendingCases[[#This Row],[Price]]," AED","")),"")</f>
        <v/>
      </c>
      <c r="AL388" s="165" t="str">
        <f>IFERROR(VALUE(LEFT(OpenPendingCases[[#This Row],[Price]],FIND(" ",OpenPendingCases[[#This Row],[Price]])-1)),"")</f>
        <v/>
      </c>
      <c r="AM388" s="165" t="str">
        <f>IFERROR(VALUE(_xlfn.TEXTBEFORE(OpenPendingCases[[#This Row],[Price]]," AED")),"")</f>
        <v/>
      </c>
      <c r="AN388" s="165"/>
    </row>
    <row r="389" spans="3:40" ht="18" hidden="1" x14ac:dyDescent="0.35">
      <c r="C389" s="134"/>
      <c r="D389" s="137" t="str">
        <f>IF($U389="Open Sale", IF(MAX($D$4:D388)+1=0, "", MAX($D$4:D388)+1), "")</f>
        <v/>
      </c>
      <c r="E389" s="137" t="str">
        <f>IF($U389="Pending Allocation", IF(MAX($E$4:E388)+1=0, "", MAX($E$4:E388)+1), "")</f>
        <v/>
      </c>
      <c r="F389" s="137"/>
      <c r="G389" s="137"/>
      <c r="H389" s="150"/>
      <c r="I389" s="150"/>
      <c r="J389" s="68" t="str">
        <f>IF(OpenPendingCases[[#This Row],[Timepiece Reference ]]="", "", IF(_xlfn.XLOOKUP(OpenPendingCases[[#This Row],[Timepiece Reference ]], Table1[[Timepiece Reference ]], Table1[CRC STOCK], "Not Found")="YES", "CRC Stock", "Boutique Stock"))</f>
        <v/>
      </c>
      <c r="K389" s="137" t="str">
        <f>IF(OpenPendingCases[[#This Row],[Timepiece Reference ]]="", "", IF(_xlfn.XLOOKUP(OpenPendingCases[[#This Row],[Timepiece Reference ]], Table1[[Timepiece Reference ]], Table1[CRC STOCK], "Not Found")="YES", "CRC Stock", "Boutique Stock"))</f>
        <v/>
      </c>
      <c r="L389" s="143"/>
      <c r="M389" s="141"/>
      <c r="N389" s="137"/>
      <c r="O389" s="134"/>
      <c r="P389" s="94" t="str">
        <f>IFERROR(VLOOKUP(TRIM(O389), Collection!$B$2:$D$1001, 2, FALSE), "")</f>
        <v/>
      </c>
      <c r="Q389" s="190" t="str">
        <f>IFERROR(VLOOKUP(TRIM(O389), Collection!$B$2:$D$1001, 3, FALSE), "")</f>
        <v/>
      </c>
      <c r="R389" s="153" t="str">
        <f t="shared" si="44"/>
        <v/>
      </c>
      <c r="S389" s="151"/>
      <c r="T389" s="158"/>
      <c r="U389" s="137"/>
      <c r="V389" s="137"/>
      <c r="W389" s="156" t="str">
        <f t="shared" si="48"/>
        <v/>
      </c>
      <c r="X389" s="157"/>
      <c r="Y389" s="158"/>
      <c r="Z389" s="158"/>
      <c r="AA389" s="137" t="str">
        <f t="shared" ca="1" si="49"/>
        <v/>
      </c>
      <c r="AB389" s="137" t="str">
        <f t="shared" ca="1" si="45"/>
        <v/>
      </c>
      <c r="AC389" s="160" t="str">
        <f t="shared" ca="1" si="46"/>
        <v/>
      </c>
      <c r="AD389" s="159" t="str">
        <f t="shared" ca="1" si="47"/>
        <v/>
      </c>
      <c r="AE389" s="161"/>
      <c r="AF389" s="161"/>
      <c r="AG389" s="161"/>
      <c r="AH389" s="137"/>
      <c r="AI389" s="164" t="str">
        <f t="shared" si="43"/>
        <v/>
      </c>
      <c r="AJ389" s="164" t="str">
        <f>IF(AND(OpenPendingCases[[#This Row],[Sale Status	]]="Open Sale",OpenPendingCases[[#This Row],[Potential Same Month]]="High"),TEXT(OpenPendingCases[[#This Row],[Request Entry Date]], "[$-en-us]mmmm"),"")</f>
        <v/>
      </c>
      <c r="AK389" s="165" t="str">
        <f>IFERROR(VALUE(SUBSTITUTE(OpenPendingCases[[#This Row],[Price]]," AED","")),"")</f>
        <v/>
      </c>
      <c r="AL389" s="165" t="str">
        <f>IFERROR(VALUE(LEFT(OpenPendingCases[[#This Row],[Price]],FIND(" ",OpenPendingCases[[#This Row],[Price]])-1)),"")</f>
        <v/>
      </c>
      <c r="AM389" s="165" t="str">
        <f>IFERROR(VALUE(_xlfn.TEXTBEFORE(OpenPendingCases[[#This Row],[Price]]," AED")),"")</f>
        <v/>
      </c>
      <c r="AN389" s="165"/>
    </row>
    <row r="390" spans="3:40" ht="18" hidden="1" x14ac:dyDescent="0.35">
      <c r="C390" s="134"/>
      <c r="D390" s="137" t="str">
        <f>IF($U390="Open Sale", IF(MAX($D$4:D389)+1=0, "", MAX($D$4:D389)+1), "")</f>
        <v/>
      </c>
      <c r="E390" s="137" t="str">
        <f>IF($U390="Pending Allocation", IF(MAX($E$4:E389)+1=0, "", MAX($E$4:E389)+1), "")</f>
        <v/>
      </c>
      <c r="F390" s="137"/>
      <c r="G390" s="137"/>
      <c r="H390" s="150"/>
      <c r="I390" s="150"/>
      <c r="J390" s="68" t="str">
        <f>IF(OpenPendingCases[[#This Row],[Timepiece Reference ]]="", "", IF(_xlfn.XLOOKUP(OpenPendingCases[[#This Row],[Timepiece Reference ]], Table1[[Timepiece Reference ]], Table1[CRC STOCK], "Not Found")="YES", "CRC Stock", "Boutique Stock"))</f>
        <v/>
      </c>
      <c r="K390" s="137" t="str">
        <f>IF(OpenPendingCases[[#This Row],[Timepiece Reference ]]="", "", IF(_xlfn.XLOOKUP(OpenPendingCases[[#This Row],[Timepiece Reference ]], Table1[[Timepiece Reference ]], Table1[CRC STOCK], "Not Found")="YES", "CRC Stock", "Boutique Stock"))</f>
        <v/>
      </c>
      <c r="L390" s="143"/>
      <c r="M390" s="141"/>
      <c r="N390" s="137"/>
      <c r="O390" s="134"/>
      <c r="P390" s="94" t="str">
        <f>IFERROR(VLOOKUP(TRIM(O390), Collection!$B$2:$D$1001, 2, FALSE), "")</f>
        <v/>
      </c>
      <c r="Q390" s="190" t="str">
        <f>IFERROR(VLOOKUP(TRIM(O390), Collection!$B$2:$D$1001, 3, FALSE), "")</f>
        <v/>
      </c>
      <c r="R390" s="153" t="str">
        <f t="shared" si="44"/>
        <v/>
      </c>
      <c r="S390" s="151"/>
      <c r="T390" s="158"/>
      <c r="U390" s="137"/>
      <c r="V390" s="137"/>
      <c r="W390" s="156" t="str">
        <f t="shared" si="48"/>
        <v/>
      </c>
      <c r="X390" s="157"/>
      <c r="Y390" s="158"/>
      <c r="Z390" s="158"/>
      <c r="AA390" s="137" t="str">
        <f t="shared" ca="1" si="49"/>
        <v/>
      </c>
      <c r="AB390" s="137" t="str">
        <f t="shared" ca="1" si="45"/>
        <v/>
      </c>
      <c r="AC390" s="160" t="str">
        <f t="shared" ca="1" si="46"/>
        <v/>
      </c>
      <c r="AD390" s="159" t="str">
        <f t="shared" ca="1" si="47"/>
        <v/>
      </c>
      <c r="AE390" s="161"/>
      <c r="AF390" s="161"/>
      <c r="AG390" s="161"/>
      <c r="AH390" s="137"/>
      <c r="AI390" s="164" t="str">
        <f t="shared" si="43"/>
        <v/>
      </c>
      <c r="AJ390" s="164" t="str">
        <f>IF(AND(OpenPendingCases[[#This Row],[Sale Status	]]="Open Sale",OpenPendingCases[[#This Row],[Potential Same Month]]="High"),TEXT(OpenPendingCases[[#This Row],[Request Entry Date]], "[$-en-us]mmmm"),"")</f>
        <v/>
      </c>
      <c r="AK390" s="165" t="str">
        <f>IFERROR(VALUE(SUBSTITUTE(OpenPendingCases[[#This Row],[Price]]," AED","")),"")</f>
        <v/>
      </c>
      <c r="AL390" s="165" t="str">
        <f>IFERROR(VALUE(LEFT(OpenPendingCases[[#This Row],[Price]],FIND(" ",OpenPendingCases[[#This Row],[Price]])-1)),"")</f>
        <v/>
      </c>
      <c r="AM390" s="165" t="str">
        <f>IFERROR(VALUE(_xlfn.TEXTBEFORE(OpenPendingCases[[#This Row],[Price]]," AED")),"")</f>
        <v/>
      </c>
      <c r="AN390" s="165"/>
    </row>
    <row r="391" spans="3:40" ht="18" hidden="1" x14ac:dyDescent="0.35">
      <c r="C391" s="134"/>
      <c r="D391" s="137" t="str">
        <f>IF($U391="Open Sale", IF(MAX($D$4:D390)+1=0, "", MAX($D$4:D390)+1), "")</f>
        <v/>
      </c>
      <c r="E391" s="137" t="str">
        <f>IF($U391="Pending Allocation", IF(MAX($E$4:E390)+1=0, "", MAX($E$4:E390)+1), "")</f>
        <v/>
      </c>
      <c r="F391" s="137"/>
      <c r="G391" s="137"/>
      <c r="H391" s="150"/>
      <c r="I391" s="150"/>
      <c r="J391" s="68" t="str">
        <f>IF(OpenPendingCases[[#This Row],[Timepiece Reference ]]="", "", IF(_xlfn.XLOOKUP(OpenPendingCases[[#This Row],[Timepiece Reference ]], Table1[[Timepiece Reference ]], Table1[CRC STOCK], "Not Found")="YES", "CRC Stock", "Boutique Stock"))</f>
        <v/>
      </c>
      <c r="K391" s="137" t="str">
        <f>IF(OpenPendingCases[[#This Row],[Timepiece Reference ]]="", "", IF(_xlfn.XLOOKUP(OpenPendingCases[[#This Row],[Timepiece Reference ]], Table1[[Timepiece Reference ]], Table1[CRC STOCK], "Not Found")="YES", "CRC Stock", "Boutique Stock"))</f>
        <v/>
      </c>
      <c r="L391" s="143"/>
      <c r="M391" s="141"/>
      <c r="N391" s="137"/>
      <c r="O391" s="134"/>
      <c r="P391" s="94" t="str">
        <f>IFERROR(VLOOKUP(TRIM(O391), Collection!$B$2:$D$1001, 2, FALSE), "")</f>
        <v/>
      </c>
      <c r="Q391" s="190" t="str">
        <f>IFERROR(VLOOKUP(TRIM(O391), Collection!$B$2:$D$1001, 3, FALSE), "")</f>
        <v/>
      </c>
      <c r="R391" s="153" t="str">
        <f t="shared" si="44"/>
        <v/>
      </c>
      <c r="S391" s="151"/>
      <c r="T391" s="158"/>
      <c r="U391" s="137"/>
      <c r="V391" s="137"/>
      <c r="W391" s="156" t="str">
        <f t="shared" si="48"/>
        <v/>
      </c>
      <c r="X391" s="157"/>
      <c r="Y391" s="158"/>
      <c r="Z391" s="158"/>
      <c r="AA391" s="137" t="str">
        <f t="shared" ca="1" si="49"/>
        <v/>
      </c>
      <c r="AB391" s="137" t="str">
        <f t="shared" ca="1" si="45"/>
        <v/>
      </c>
      <c r="AC391" s="160" t="str">
        <f t="shared" ca="1" si="46"/>
        <v/>
      </c>
      <c r="AD391" s="159" t="str">
        <f t="shared" ca="1" si="47"/>
        <v/>
      </c>
      <c r="AE391" s="161"/>
      <c r="AF391" s="161"/>
      <c r="AG391" s="161"/>
      <c r="AH391" s="137"/>
      <c r="AI391" s="164" t="str">
        <f t="shared" si="43"/>
        <v/>
      </c>
      <c r="AJ391" s="164" t="str">
        <f>IF(AND(OpenPendingCases[[#This Row],[Sale Status	]]="Open Sale",OpenPendingCases[[#This Row],[Potential Same Month]]="High"),TEXT(OpenPendingCases[[#This Row],[Request Entry Date]], "[$-en-us]mmmm"),"")</f>
        <v/>
      </c>
      <c r="AK391" s="165" t="str">
        <f>IFERROR(VALUE(SUBSTITUTE(OpenPendingCases[[#This Row],[Price]]," AED","")),"")</f>
        <v/>
      </c>
      <c r="AL391" s="165" t="str">
        <f>IFERROR(VALUE(LEFT(OpenPendingCases[[#This Row],[Price]],FIND(" ",OpenPendingCases[[#This Row],[Price]])-1)),"")</f>
        <v/>
      </c>
      <c r="AM391" s="165" t="str">
        <f>IFERROR(VALUE(_xlfn.TEXTBEFORE(OpenPendingCases[[#This Row],[Price]]," AED")),"")</f>
        <v/>
      </c>
      <c r="AN391" s="165"/>
    </row>
    <row r="392" spans="3:40" ht="18" hidden="1" x14ac:dyDescent="0.35">
      <c r="C392" s="134"/>
      <c r="D392" s="137" t="str">
        <f>IF($U392="Open Sale", IF(MAX($D$4:D391)+1=0, "", MAX($D$4:D391)+1), "")</f>
        <v/>
      </c>
      <c r="E392" s="137" t="str">
        <f>IF($U392="Pending Allocation", IF(MAX($E$4:E391)+1=0, "", MAX($E$4:E391)+1), "")</f>
        <v/>
      </c>
      <c r="F392" s="137"/>
      <c r="G392" s="137"/>
      <c r="H392" s="150"/>
      <c r="I392" s="150"/>
      <c r="J392" s="68" t="str">
        <f>IF(OpenPendingCases[[#This Row],[Timepiece Reference ]]="", "", IF(_xlfn.XLOOKUP(OpenPendingCases[[#This Row],[Timepiece Reference ]], Table1[[Timepiece Reference ]], Table1[CRC STOCK], "Not Found")="YES", "CRC Stock", "Boutique Stock"))</f>
        <v/>
      </c>
      <c r="K392" s="137" t="str">
        <f>IF(OpenPendingCases[[#This Row],[Timepiece Reference ]]="", "", IF(_xlfn.XLOOKUP(OpenPendingCases[[#This Row],[Timepiece Reference ]], Table1[[Timepiece Reference ]], Table1[CRC STOCK], "Not Found")="YES", "CRC Stock", "Boutique Stock"))</f>
        <v/>
      </c>
      <c r="L392" s="143"/>
      <c r="M392" s="141"/>
      <c r="N392" s="137"/>
      <c r="O392" s="134"/>
      <c r="P392" s="94" t="str">
        <f>IFERROR(VLOOKUP(TRIM(O392), Collection!$B$2:$D$1001, 2, FALSE), "")</f>
        <v/>
      </c>
      <c r="Q392" s="190" t="str">
        <f>IFERROR(VLOOKUP(TRIM(O392), Collection!$B$2:$D$1001, 3, FALSE), "")</f>
        <v/>
      </c>
      <c r="R392" s="153" t="str">
        <f t="shared" si="44"/>
        <v/>
      </c>
      <c r="S392" s="151"/>
      <c r="T392" s="158"/>
      <c r="U392" s="137"/>
      <c r="V392" s="137"/>
      <c r="W392" s="156" t="str">
        <f t="shared" si="48"/>
        <v/>
      </c>
      <c r="X392" s="157"/>
      <c r="Y392" s="158"/>
      <c r="Z392" s="158"/>
      <c r="AA392" s="137" t="str">
        <f t="shared" ca="1" si="49"/>
        <v/>
      </c>
      <c r="AB392" s="137" t="str">
        <f t="shared" ca="1" si="45"/>
        <v/>
      </c>
      <c r="AC392" s="160" t="str">
        <f t="shared" ca="1" si="46"/>
        <v/>
      </c>
      <c r="AD392" s="159" t="str">
        <f t="shared" ca="1" si="47"/>
        <v/>
      </c>
      <c r="AE392" s="161"/>
      <c r="AF392" s="161"/>
      <c r="AG392" s="161"/>
      <c r="AH392" s="137"/>
      <c r="AI392" s="164" t="str">
        <f t="shared" si="43"/>
        <v/>
      </c>
      <c r="AJ392" s="164" t="str">
        <f>IF(AND(OpenPendingCases[[#This Row],[Sale Status	]]="Open Sale",OpenPendingCases[[#This Row],[Potential Same Month]]="High"),TEXT(OpenPendingCases[[#This Row],[Request Entry Date]], "[$-en-us]mmmm"),"")</f>
        <v/>
      </c>
      <c r="AK392" s="165" t="str">
        <f>IFERROR(VALUE(SUBSTITUTE(OpenPendingCases[[#This Row],[Price]]," AED","")),"")</f>
        <v/>
      </c>
      <c r="AL392" s="165" t="str">
        <f>IFERROR(VALUE(LEFT(OpenPendingCases[[#This Row],[Price]],FIND(" ",OpenPendingCases[[#This Row],[Price]])-1)),"")</f>
        <v/>
      </c>
      <c r="AM392" s="165" t="str">
        <f>IFERROR(VALUE(_xlfn.TEXTBEFORE(OpenPendingCases[[#This Row],[Price]]," AED")),"")</f>
        <v/>
      </c>
      <c r="AN392" s="165"/>
    </row>
    <row r="393" spans="3:40" ht="18" hidden="1" x14ac:dyDescent="0.35">
      <c r="C393" s="134"/>
      <c r="D393" s="137" t="str">
        <f>IF($U393="Open Sale", IF(MAX($D$4:D392)+1=0, "", MAX($D$4:D392)+1), "")</f>
        <v/>
      </c>
      <c r="E393" s="137" t="str">
        <f>IF($U393="Pending Allocation", IF(MAX($E$4:E392)+1=0, "", MAX($E$4:E392)+1), "")</f>
        <v/>
      </c>
      <c r="F393" s="137"/>
      <c r="G393" s="137"/>
      <c r="H393" s="150"/>
      <c r="I393" s="150"/>
      <c r="J393" s="68" t="str">
        <f>IF(OpenPendingCases[[#This Row],[Timepiece Reference ]]="", "", IF(_xlfn.XLOOKUP(OpenPendingCases[[#This Row],[Timepiece Reference ]], Table1[[Timepiece Reference ]], Table1[CRC STOCK], "Not Found")="YES", "CRC Stock", "Boutique Stock"))</f>
        <v/>
      </c>
      <c r="K393" s="137" t="str">
        <f>IF(OpenPendingCases[[#This Row],[Timepiece Reference ]]="", "", IF(_xlfn.XLOOKUP(OpenPendingCases[[#This Row],[Timepiece Reference ]], Table1[[Timepiece Reference ]], Table1[CRC STOCK], "Not Found")="YES", "CRC Stock", "Boutique Stock"))</f>
        <v/>
      </c>
      <c r="L393" s="143"/>
      <c r="M393" s="141"/>
      <c r="N393" s="137"/>
      <c r="O393" s="134"/>
      <c r="P393" s="94" t="str">
        <f>IFERROR(VLOOKUP(TRIM(O393), Collection!$B$2:$D$1001, 2, FALSE), "")</f>
        <v/>
      </c>
      <c r="Q393" s="190" t="str">
        <f>IFERROR(VLOOKUP(TRIM(O393), Collection!$B$2:$D$1001, 3, FALSE), "")</f>
        <v/>
      </c>
      <c r="R393" s="153" t="str">
        <f t="shared" si="44"/>
        <v/>
      </c>
      <c r="S393" s="151"/>
      <c r="T393" s="158"/>
      <c r="U393" s="137"/>
      <c r="V393" s="137"/>
      <c r="W393" s="156" t="str">
        <f t="shared" si="48"/>
        <v/>
      </c>
      <c r="X393" s="157"/>
      <c r="Y393" s="158"/>
      <c r="Z393" s="158"/>
      <c r="AA393" s="137" t="str">
        <f t="shared" ca="1" si="49"/>
        <v/>
      </c>
      <c r="AB393" s="137" t="str">
        <f t="shared" ca="1" si="45"/>
        <v/>
      </c>
      <c r="AC393" s="160" t="str">
        <f t="shared" ca="1" si="46"/>
        <v/>
      </c>
      <c r="AD393" s="159" t="str">
        <f t="shared" ca="1" si="47"/>
        <v/>
      </c>
      <c r="AE393" s="161"/>
      <c r="AF393" s="161"/>
      <c r="AG393" s="161"/>
      <c r="AH393" s="137"/>
      <c r="AI393" s="164" t="str">
        <f t="shared" si="43"/>
        <v/>
      </c>
      <c r="AJ393" s="164" t="str">
        <f>IF(AND(OpenPendingCases[[#This Row],[Sale Status	]]="Open Sale",OpenPendingCases[[#This Row],[Potential Same Month]]="High"),TEXT(OpenPendingCases[[#This Row],[Request Entry Date]], "[$-en-us]mmmm"),"")</f>
        <v/>
      </c>
      <c r="AK393" s="165" t="str">
        <f>IFERROR(VALUE(SUBSTITUTE(OpenPendingCases[[#This Row],[Price]]," AED","")),"")</f>
        <v/>
      </c>
      <c r="AL393" s="165" t="str">
        <f>IFERROR(VALUE(LEFT(OpenPendingCases[[#This Row],[Price]],FIND(" ",OpenPendingCases[[#This Row],[Price]])-1)),"")</f>
        <v/>
      </c>
      <c r="AM393" s="165" t="str">
        <f>IFERROR(VALUE(_xlfn.TEXTBEFORE(OpenPendingCases[[#This Row],[Price]]," AED")),"")</f>
        <v/>
      </c>
      <c r="AN393" s="165"/>
    </row>
    <row r="394" spans="3:40" ht="18" hidden="1" x14ac:dyDescent="0.35">
      <c r="C394" s="134"/>
      <c r="D394" s="137" t="str">
        <f>IF($U394="Open Sale", IF(MAX($D$4:D393)+1=0, "", MAX($D$4:D393)+1), "")</f>
        <v/>
      </c>
      <c r="E394" s="137" t="str">
        <f>IF($U394="Pending Allocation", IF(MAX($E$4:E393)+1=0, "", MAX($E$4:E393)+1), "")</f>
        <v/>
      </c>
      <c r="F394" s="137"/>
      <c r="G394" s="137"/>
      <c r="H394" s="150"/>
      <c r="I394" s="150"/>
      <c r="J394" s="68" t="str">
        <f>IF(OpenPendingCases[[#This Row],[Timepiece Reference ]]="", "", IF(_xlfn.XLOOKUP(OpenPendingCases[[#This Row],[Timepiece Reference ]], Table1[[Timepiece Reference ]], Table1[CRC STOCK], "Not Found")="YES", "CRC Stock", "Boutique Stock"))</f>
        <v/>
      </c>
      <c r="K394" s="137" t="str">
        <f>IF(OpenPendingCases[[#This Row],[Timepiece Reference ]]="", "", IF(_xlfn.XLOOKUP(OpenPendingCases[[#This Row],[Timepiece Reference ]], Table1[[Timepiece Reference ]], Table1[CRC STOCK], "Not Found")="YES", "CRC Stock", "Boutique Stock"))</f>
        <v/>
      </c>
      <c r="L394" s="143"/>
      <c r="M394" s="141"/>
      <c r="N394" s="137"/>
      <c r="O394" s="134"/>
      <c r="P394" s="94" t="str">
        <f>IFERROR(VLOOKUP(TRIM(O394), Collection!$B$2:$D$1001, 2, FALSE), "")</f>
        <v/>
      </c>
      <c r="Q394" s="190" t="str">
        <f>IFERROR(VLOOKUP(TRIM(O394), Collection!$B$2:$D$1001, 3, FALSE), "")</f>
        <v/>
      </c>
      <c r="R394" s="153" t="str">
        <f t="shared" si="44"/>
        <v/>
      </c>
      <c r="S394" s="151"/>
      <c r="T394" s="158"/>
      <c r="U394" s="137"/>
      <c r="V394" s="137"/>
      <c r="W394" s="156" t="str">
        <f t="shared" si="48"/>
        <v/>
      </c>
      <c r="X394" s="157"/>
      <c r="Y394" s="158"/>
      <c r="Z394" s="158"/>
      <c r="AA394" s="137" t="str">
        <f t="shared" ca="1" si="49"/>
        <v/>
      </c>
      <c r="AB394" s="137" t="str">
        <f t="shared" ca="1" si="45"/>
        <v/>
      </c>
      <c r="AC394" s="160" t="str">
        <f t="shared" ca="1" si="46"/>
        <v/>
      </c>
      <c r="AD394" s="159" t="str">
        <f t="shared" ca="1" si="47"/>
        <v/>
      </c>
      <c r="AE394" s="161"/>
      <c r="AF394" s="161"/>
      <c r="AG394" s="161"/>
      <c r="AH394" s="137"/>
      <c r="AI394" s="164" t="str">
        <f t="shared" si="43"/>
        <v/>
      </c>
      <c r="AJ394" s="164" t="str">
        <f>IF(AND(OpenPendingCases[[#This Row],[Sale Status	]]="Open Sale",OpenPendingCases[[#This Row],[Potential Same Month]]="High"),TEXT(OpenPendingCases[[#This Row],[Request Entry Date]], "[$-en-us]mmmm"),"")</f>
        <v/>
      </c>
      <c r="AK394" s="165" t="str">
        <f>IFERROR(VALUE(SUBSTITUTE(OpenPendingCases[[#This Row],[Price]]," AED","")),"")</f>
        <v/>
      </c>
      <c r="AL394" s="165" t="str">
        <f>IFERROR(VALUE(LEFT(OpenPendingCases[[#This Row],[Price]],FIND(" ",OpenPendingCases[[#This Row],[Price]])-1)),"")</f>
        <v/>
      </c>
      <c r="AM394" s="165" t="str">
        <f>IFERROR(VALUE(_xlfn.TEXTBEFORE(OpenPendingCases[[#This Row],[Price]]," AED")),"")</f>
        <v/>
      </c>
      <c r="AN394" s="165"/>
    </row>
    <row r="395" spans="3:40" ht="18" hidden="1" x14ac:dyDescent="0.35">
      <c r="C395" s="134"/>
      <c r="D395" s="137" t="str">
        <f>IF($U395="Open Sale", IF(MAX($D$4:D394)+1=0, "", MAX($D$4:D394)+1), "")</f>
        <v/>
      </c>
      <c r="E395" s="137" t="str">
        <f>IF($U395="Pending Allocation", IF(MAX($E$4:E394)+1=0, "", MAX($E$4:E394)+1), "")</f>
        <v/>
      </c>
      <c r="F395" s="137"/>
      <c r="G395" s="137"/>
      <c r="H395" s="150"/>
      <c r="I395" s="150"/>
      <c r="J395" s="68" t="str">
        <f>IF(OpenPendingCases[[#This Row],[Timepiece Reference ]]="", "", IF(_xlfn.XLOOKUP(OpenPendingCases[[#This Row],[Timepiece Reference ]], Table1[[Timepiece Reference ]], Table1[CRC STOCK], "Not Found")="YES", "CRC Stock", "Boutique Stock"))</f>
        <v/>
      </c>
      <c r="K395" s="137" t="str">
        <f>IF(OpenPendingCases[[#This Row],[Timepiece Reference ]]="", "", IF(_xlfn.XLOOKUP(OpenPendingCases[[#This Row],[Timepiece Reference ]], Table1[[Timepiece Reference ]], Table1[CRC STOCK], "Not Found")="YES", "CRC Stock", "Boutique Stock"))</f>
        <v/>
      </c>
      <c r="L395" s="143"/>
      <c r="M395" s="141"/>
      <c r="N395" s="137"/>
      <c r="O395" s="134"/>
      <c r="P395" s="94" t="str">
        <f>IFERROR(VLOOKUP(TRIM(O395), Collection!$B$2:$D$1001, 2, FALSE), "")</f>
        <v/>
      </c>
      <c r="Q395" s="190" t="str">
        <f>IFERROR(VLOOKUP(TRIM(O395), Collection!$B$2:$D$1001, 3, FALSE), "")</f>
        <v/>
      </c>
      <c r="R395" s="153" t="str">
        <f t="shared" si="44"/>
        <v/>
      </c>
      <c r="S395" s="151"/>
      <c r="T395" s="158"/>
      <c r="U395" s="137"/>
      <c r="V395" s="137"/>
      <c r="W395" s="156" t="str">
        <f t="shared" si="48"/>
        <v/>
      </c>
      <c r="X395" s="157"/>
      <c r="Y395" s="158"/>
      <c r="Z395" s="158"/>
      <c r="AA395" s="137" t="str">
        <f t="shared" ca="1" si="49"/>
        <v/>
      </c>
      <c r="AB395" s="137" t="str">
        <f t="shared" ca="1" si="45"/>
        <v/>
      </c>
      <c r="AC395" s="160" t="str">
        <f t="shared" ca="1" si="46"/>
        <v/>
      </c>
      <c r="AD395" s="159" t="str">
        <f t="shared" ca="1" si="47"/>
        <v/>
      </c>
      <c r="AE395" s="161"/>
      <c r="AF395" s="161"/>
      <c r="AG395" s="161"/>
      <c r="AH395" s="137"/>
      <c r="AI395" s="164" t="str">
        <f t="shared" si="43"/>
        <v/>
      </c>
      <c r="AJ395" s="164" t="str">
        <f>IF(AND(OpenPendingCases[[#This Row],[Sale Status	]]="Open Sale",OpenPendingCases[[#This Row],[Potential Same Month]]="High"),TEXT(OpenPendingCases[[#This Row],[Request Entry Date]], "[$-en-us]mmmm"),"")</f>
        <v/>
      </c>
      <c r="AK395" s="165" t="str">
        <f>IFERROR(VALUE(SUBSTITUTE(OpenPendingCases[[#This Row],[Price]]," AED","")),"")</f>
        <v/>
      </c>
      <c r="AL395" s="165" t="str">
        <f>IFERROR(VALUE(LEFT(OpenPendingCases[[#This Row],[Price]],FIND(" ",OpenPendingCases[[#This Row],[Price]])-1)),"")</f>
        <v/>
      </c>
      <c r="AM395" s="165" t="str">
        <f>IFERROR(VALUE(_xlfn.TEXTBEFORE(OpenPendingCases[[#This Row],[Price]]," AED")),"")</f>
        <v/>
      </c>
      <c r="AN395" s="165"/>
    </row>
    <row r="396" spans="3:40" ht="18" hidden="1" x14ac:dyDescent="0.35">
      <c r="C396" s="134"/>
      <c r="D396" s="137" t="str">
        <f>IF($U396="Open Sale", IF(MAX($D$4:D395)+1=0, "", MAX($D$4:D395)+1), "")</f>
        <v/>
      </c>
      <c r="E396" s="137" t="str">
        <f>IF($U396="Pending Allocation", IF(MAX($E$4:E395)+1=0, "", MAX($E$4:E395)+1), "")</f>
        <v/>
      </c>
      <c r="F396" s="137"/>
      <c r="G396" s="137"/>
      <c r="H396" s="150"/>
      <c r="I396" s="150"/>
      <c r="J396" s="68" t="str">
        <f>IF(OpenPendingCases[[#This Row],[Timepiece Reference ]]="", "", IF(_xlfn.XLOOKUP(OpenPendingCases[[#This Row],[Timepiece Reference ]], Table1[[Timepiece Reference ]], Table1[CRC STOCK], "Not Found")="YES", "CRC Stock", "Boutique Stock"))</f>
        <v/>
      </c>
      <c r="K396" s="137" t="str">
        <f>IF(OpenPendingCases[[#This Row],[Timepiece Reference ]]="", "", IF(_xlfn.XLOOKUP(OpenPendingCases[[#This Row],[Timepiece Reference ]], Table1[[Timepiece Reference ]], Table1[CRC STOCK], "Not Found")="YES", "CRC Stock", "Boutique Stock"))</f>
        <v/>
      </c>
      <c r="L396" s="143"/>
      <c r="M396" s="141"/>
      <c r="N396" s="137"/>
      <c r="O396" s="134"/>
      <c r="P396" s="94" t="str">
        <f>IFERROR(VLOOKUP(TRIM(O396), Collection!$B$2:$D$1001, 2, FALSE), "")</f>
        <v/>
      </c>
      <c r="Q396" s="190" t="str">
        <f>IFERROR(VLOOKUP(TRIM(O396), Collection!$B$2:$D$1001, 3, FALSE), "")</f>
        <v/>
      </c>
      <c r="R396" s="153" t="str">
        <f t="shared" si="44"/>
        <v/>
      </c>
      <c r="S396" s="151"/>
      <c r="T396" s="158"/>
      <c r="U396" s="137"/>
      <c r="V396" s="137"/>
      <c r="W396" s="156" t="str">
        <f t="shared" si="48"/>
        <v/>
      </c>
      <c r="X396" s="157"/>
      <c r="Y396" s="158"/>
      <c r="Z396" s="158"/>
      <c r="AA396" s="137" t="str">
        <f t="shared" ca="1" si="49"/>
        <v/>
      </c>
      <c r="AB396" s="137" t="str">
        <f t="shared" ca="1" si="45"/>
        <v/>
      </c>
      <c r="AC396" s="160" t="str">
        <f t="shared" ca="1" si="46"/>
        <v/>
      </c>
      <c r="AD396" s="159" t="str">
        <f t="shared" ca="1" si="47"/>
        <v/>
      </c>
      <c r="AE396" s="161"/>
      <c r="AF396" s="161"/>
      <c r="AG396" s="161"/>
      <c r="AH396" s="137"/>
      <c r="AI396" s="164" t="str">
        <f t="shared" si="43"/>
        <v/>
      </c>
      <c r="AJ396" s="164" t="str">
        <f>IF(AND(OpenPendingCases[[#This Row],[Sale Status	]]="Open Sale",OpenPendingCases[[#This Row],[Potential Same Month]]="High"),TEXT(OpenPendingCases[[#This Row],[Request Entry Date]], "[$-en-us]mmmm"),"")</f>
        <v/>
      </c>
      <c r="AK396" s="165" t="str">
        <f>IFERROR(VALUE(SUBSTITUTE(OpenPendingCases[[#This Row],[Price]]," AED","")),"")</f>
        <v/>
      </c>
      <c r="AL396" s="165" t="str">
        <f>IFERROR(VALUE(LEFT(OpenPendingCases[[#This Row],[Price]],FIND(" ",OpenPendingCases[[#This Row],[Price]])-1)),"")</f>
        <v/>
      </c>
      <c r="AM396" s="165" t="str">
        <f>IFERROR(VALUE(_xlfn.TEXTBEFORE(OpenPendingCases[[#This Row],[Price]]," AED")),"")</f>
        <v/>
      </c>
      <c r="AN396" s="165"/>
    </row>
    <row r="397" spans="3:40" ht="18" hidden="1" x14ac:dyDescent="0.35">
      <c r="C397" s="134"/>
      <c r="D397" s="137" t="str">
        <f>IF($U397="Open Sale", IF(MAX($D$4:D396)+1=0, "", MAX($D$4:D396)+1), "")</f>
        <v/>
      </c>
      <c r="E397" s="137" t="str">
        <f>IF($U397="Pending Allocation", IF(MAX($E$4:E396)+1=0, "", MAX($E$4:E396)+1), "")</f>
        <v/>
      </c>
      <c r="F397" s="137"/>
      <c r="G397" s="137"/>
      <c r="H397" s="150"/>
      <c r="I397" s="150"/>
      <c r="J397" s="68" t="str">
        <f>IF(OpenPendingCases[[#This Row],[Timepiece Reference ]]="", "", IF(_xlfn.XLOOKUP(OpenPendingCases[[#This Row],[Timepiece Reference ]], Table1[[Timepiece Reference ]], Table1[CRC STOCK], "Not Found")="YES", "CRC Stock", "Boutique Stock"))</f>
        <v/>
      </c>
      <c r="K397" s="137" t="str">
        <f>IF(OpenPendingCases[[#This Row],[Timepiece Reference ]]="", "", IF(_xlfn.XLOOKUP(OpenPendingCases[[#This Row],[Timepiece Reference ]], Table1[[Timepiece Reference ]], Table1[CRC STOCK], "Not Found")="YES", "CRC Stock", "Boutique Stock"))</f>
        <v/>
      </c>
      <c r="L397" s="143"/>
      <c r="M397" s="141"/>
      <c r="N397" s="137"/>
      <c r="O397" s="134"/>
      <c r="P397" s="94" t="str">
        <f>IFERROR(VLOOKUP(TRIM(O397), Collection!$B$2:$D$1001, 2, FALSE), "")</f>
        <v/>
      </c>
      <c r="Q397" s="190" t="str">
        <f>IFERROR(VLOOKUP(TRIM(O397), Collection!$B$2:$D$1001, 3, FALSE), "")</f>
        <v/>
      </c>
      <c r="R397" s="153" t="str">
        <f t="shared" si="44"/>
        <v/>
      </c>
      <c r="S397" s="151"/>
      <c r="T397" s="158"/>
      <c r="U397" s="137"/>
      <c r="V397" s="137"/>
      <c r="W397" s="156" t="str">
        <f t="shared" si="48"/>
        <v/>
      </c>
      <c r="X397" s="157"/>
      <c r="Y397" s="158"/>
      <c r="Z397" s="158"/>
      <c r="AA397" s="137" t="str">
        <f t="shared" ca="1" si="49"/>
        <v/>
      </c>
      <c r="AB397" s="137" t="str">
        <f t="shared" ca="1" si="45"/>
        <v/>
      </c>
      <c r="AC397" s="160" t="str">
        <f t="shared" ca="1" si="46"/>
        <v/>
      </c>
      <c r="AD397" s="159" t="str">
        <f t="shared" ca="1" si="47"/>
        <v/>
      </c>
      <c r="AE397" s="161"/>
      <c r="AF397" s="161"/>
      <c r="AG397" s="161"/>
      <c r="AH397" s="137"/>
      <c r="AI397" s="164" t="str">
        <f t="shared" si="43"/>
        <v/>
      </c>
      <c r="AJ397" s="164" t="str">
        <f>IF(AND(OpenPendingCases[[#This Row],[Sale Status	]]="Open Sale",OpenPendingCases[[#This Row],[Potential Same Month]]="High"),TEXT(OpenPendingCases[[#This Row],[Request Entry Date]], "[$-en-us]mmmm"),"")</f>
        <v/>
      </c>
      <c r="AK397" s="165" t="str">
        <f>IFERROR(VALUE(SUBSTITUTE(OpenPendingCases[[#This Row],[Price]]," AED","")),"")</f>
        <v/>
      </c>
      <c r="AL397" s="165" t="str">
        <f>IFERROR(VALUE(LEFT(OpenPendingCases[[#This Row],[Price]],FIND(" ",OpenPendingCases[[#This Row],[Price]])-1)),"")</f>
        <v/>
      </c>
      <c r="AM397" s="165" t="str">
        <f>IFERROR(VALUE(_xlfn.TEXTBEFORE(OpenPendingCases[[#This Row],[Price]]," AED")),"")</f>
        <v/>
      </c>
      <c r="AN397" s="165"/>
    </row>
    <row r="398" spans="3:40" ht="18" hidden="1" x14ac:dyDescent="0.35">
      <c r="C398" s="134"/>
      <c r="D398" s="137" t="str">
        <f>IF($U398="Open Sale", IF(MAX($D$4:D397)+1=0, "", MAX($D$4:D397)+1), "")</f>
        <v/>
      </c>
      <c r="E398" s="137" t="str">
        <f>IF($U398="Pending Allocation", IF(MAX($E$4:E397)+1=0, "", MAX($E$4:E397)+1), "")</f>
        <v/>
      </c>
      <c r="F398" s="137"/>
      <c r="G398" s="137"/>
      <c r="H398" s="150"/>
      <c r="I398" s="150"/>
      <c r="J398" s="68" t="str">
        <f>IF(OpenPendingCases[[#This Row],[Timepiece Reference ]]="", "", IF(_xlfn.XLOOKUP(OpenPendingCases[[#This Row],[Timepiece Reference ]], Table1[[Timepiece Reference ]], Table1[CRC STOCK], "Not Found")="YES", "CRC Stock", "Boutique Stock"))</f>
        <v/>
      </c>
      <c r="K398" s="137" t="str">
        <f>IF(OpenPendingCases[[#This Row],[Timepiece Reference ]]="", "", IF(_xlfn.XLOOKUP(OpenPendingCases[[#This Row],[Timepiece Reference ]], Table1[[Timepiece Reference ]], Table1[CRC STOCK], "Not Found")="YES", "CRC Stock", "Boutique Stock"))</f>
        <v/>
      </c>
      <c r="L398" s="143"/>
      <c r="M398" s="141"/>
      <c r="N398" s="137"/>
      <c r="O398" s="134"/>
      <c r="P398" s="94" t="str">
        <f>IFERROR(VLOOKUP(TRIM(O398), Collection!$B$2:$D$1001, 2, FALSE), "")</f>
        <v/>
      </c>
      <c r="Q398" s="190" t="str">
        <f>IFERROR(VLOOKUP(TRIM(O398), Collection!$B$2:$D$1001, 3, FALSE), "")</f>
        <v/>
      </c>
      <c r="R398" s="153" t="str">
        <f t="shared" si="44"/>
        <v/>
      </c>
      <c r="S398" s="151"/>
      <c r="T398" s="158"/>
      <c r="U398" s="137"/>
      <c r="V398" s="137"/>
      <c r="W398" s="156" t="str">
        <f t="shared" si="48"/>
        <v/>
      </c>
      <c r="X398" s="157"/>
      <c r="Y398" s="158"/>
      <c r="Z398" s="158"/>
      <c r="AA398" s="137" t="str">
        <f t="shared" ca="1" si="49"/>
        <v/>
      </c>
      <c r="AB398" s="137" t="str">
        <f t="shared" ca="1" si="45"/>
        <v/>
      </c>
      <c r="AC398" s="160" t="str">
        <f t="shared" ca="1" si="46"/>
        <v/>
      </c>
      <c r="AD398" s="159" t="str">
        <f t="shared" ca="1" si="47"/>
        <v/>
      </c>
      <c r="AE398" s="161"/>
      <c r="AF398" s="161"/>
      <c r="AG398" s="161"/>
      <c r="AH398" s="137"/>
      <c r="AI398" s="164" t="str">
        <f t="shared" si="43"/>
        <v/>
      </c>
      <c r="AJ398" s="164" t="str">
        <f>IF(AND(OpenPendingCases[[#This Row],[Sale Status	]]="Open Sale",OpenPendingCases[[#This Row],[Potential Same Month]]="High"),TEXT(OpenPendingCases[[#This Row],[Request Entry Date]], "[$-en-us]mmmm"),"")</f>
        <v/>
      </c>
      <c r="AK398" s="165" t="str">
        <f>IFERROR(VALUE(SUBSTITUTE(OpenPendingCases[[#This Row],[Price]]," AED","")),"")</f>
        <v/>
      </c>
      <c r="AL398" s="165" t="str">
        <f>IFERROR(VALUE(LEFT(OpenPendingCases[[#This Row],[Price]],FIND(" ",OpenPendingCases[[#This Row],[Price]])-1)),"")</f>
        <v/>
      </c>
      <c r="AM398" s="165" t="str">
        <f>IFERROR(VALUE(_xlfn.TEXTBEFORE(OpenPendingCases[[#This Row],[Price]]," AED")),"")</f>
        <v/>
      </c>
      <c r="AN398" s="165"/>
    </row>
    <row r="399" spans="3:40" ht="18" hidden="1" x14ac:dyDescent="0.35">
      <c r="C399" s="134"/>
      <c r="D399" s="137" t="str">
        <f>IF($U399="Open Sale", IF(MAX($D$4:D398)+1=0, "", MAX($D$4:D398)+1), "")</f>
        <v/>
      </c>
      <c r="E399" s="137" t="str">
        <f>IF($U399="Pending Allocation", IF(MAX($E$4:E398)+1=0, "", MAX($E$4:E398)+1), "")</f>
        <v/>
      </c>
      <c r="F399" s="137"/>
      <c r="G399" s="137"/>
      <c r="H399" s="150"/>
      <c r="I399" s="150"/>
      <c r="J399" s="68" t="str">
        <f>IF(OpenPendingCases[[#This Row],[Timepiece Reference ]]="", "", IF(_xlfn.XLOOKUP(OpenPendingCases[[#This Row],[Timepiece Reference ]], Table1[[Timepiece Reference ]], Table1[CRC STOCK], "Not Found")="YES", "CRC Stock", "Boutique Stock"))</f>
        <v/>
      </c>
      <c r="K399" s="137" t="str">
        <f>IF(OpenPendingCases[[#This Row],[Timepiece Reference ]]="", "", IF(_xlfn.XLOOKUP(OpenPendingCases[[#This Row],[Timepiece Reference ]], Table1[[Timepiece Reference ]], Table1[CRC STOCK], "Not Found")="YES", "CRC Stock", "Boutique Stock"))</f>
        <v/>
      </c>
      <c r="L399" s="143"/>
      <c r="M399" s="141"/>
      <c r="N399" s="137"/>
      <c r="O399" s="134"/>
      <c r="P399" s="94" t="str">
        <f>IFERROR(VLOOKUP(TRIM(O399), Collection!$B$2:$D$1001, 2, FALSE), "")</f>
        <v/>
      </c>
      <c r="Q399" s="190" t="str">
        <f>IFERROR(VLOOKUP(TRIM(O399), Collection!$B$2:$D$1001, 3, FALSE), "")</f>
        <v/>
      </c>
      <c r="R399" s="153" t="str">
        <f t="shared" si="44"/>
        <v/>
      </c>
      <c r="S399" s="151"/>
      <c r="T399" s="158"/>
      <c r="U399" s="137"/>
      <c r="V399" s="137"/>
      <c r="W399" s="156" t="str">
        <f t="shared" si="48"/>
        <v/>
      </c>
      <c r="X399" s="157"/>
      <c r="Y399" s="158"/>
      <c r="Z399" s="158"/>
      <c r="AA399" s="137" t="str">
        <f t="shared" ca="1" si="49"/>
        <v/>
      </c>
      <c r="AB399" s="137" t="str">
        <f t="shared" ca="1" si="45"/>
        <v/>
      </c>
      <c r="AC399" s="160" t="str">
        <f t="shared" ca="1" si="46"/>
        <v/>
      </c>
      <c r="AD399" s="159" t="str">
        <f t="shared" ca="1" si="47"/>
        <v/>
      </c>
      <c r="AE399" s="161"/>
      <c r="AF399" s="161"/>
      <c r="AG399" s="161"/>
      <c r="AH399" s="137"/>
      <c r="AI399" s="164" t="str">
        <f t="shared" si="43"/>
        <v/>
      </c>
      <c r="AJ399" s="164" t="str">
        <f>IF(AND(OpenPendingCases[[#This Row],[Sale Status	]]="Open Sale",OpenPendingCases[[#This Row],[Potential Same Month]]="High"),TEXT(OpenPendingCases[[#This Row],[Request Entry Date]], "[$-en-us]mmmm"),"")</f>
        <v/>
      </c>
      <c r="AK399" s="165" t="str">
        <f>IFERROR(VALUE(SUBSTITUTE(OpenPendingCases[[#This Row],[Price]]," AED","")),"")</f>
        <v/>
      </c>
      <c r="AL399" s="165" t="str">
        <f>IFERROR(VALUE(LEFT(OpenPendingCases[[#This Row],[Price]],FIND(" ",OpenPendingCases[[#This Row],[Price]])-1)),"")</f>
        <v/>
      </c>
      <c r="AM399" s="165" t="str">
        <f>IFERROR(VALUE(_xlfn.TEXTBEFORE(OpenPendingCases[[#This Row],[Price]]," AED")),"")</f>
        <v/>
      </c>
      <c r="AN399" s="165"/>
    </row>
    <row r="400" spans="3:40" ht="18" hidden="1" x14ac:dyDescent="0.35">
      <c r="C400" s="134"/>
      <c r="D400" s="137" t="str">
        <f>IF($U400="Open Sale", IF(MAX($D$4:D399)+1=0, "", MAX($D$4:D399)+1), "")</f>
        <v/>
      </c>
      <c r="E400" s="137" t="str">
        <f>IF($U400="Pending Allocation", IF(MAX($E$4:E399)+1=0, "", MAX($E$4:E399)+1), "")</f>
        <v/>
      </c>
      <c r="F400" s="137"/>
      <c r="G400" s="137"/>
      <c r="H400" s="150"/>
      <c r="I400" s="150"/>
      <c r="J400" s="68" t="str">
        <f>IF(OpenPendingCases[[#This Row],[Timepiece Reference ]]="", "", IF(_xlfn.XLOOKUP(OpenPendingCases[[#This Row],[Timepiece Reference ]], Table1[[Timepiece Reference ]], Table1[CRC STOCK], "Not Found")="YES", "CRC Stock", "Boutique Stock"))</f>
        <v/>
      </c>
      <c r="K400" s="137" t="str">
        <f>IF(OpenPendingCases[[#This Row],[Timepiece Reference ]]="", "", IF(_xlfn.XLOOKUP(OpenPendingCases[[#This Row],[Timepiece Reference ]], Table1[[Timepiece Reference ]], Table1[CRC STOCK], "Not Found")="YES", "CRC Stock", "Boutique Stock"))</f>
        <v/>
      </c>
      <c r="L400" s="143"/>
      <c r="M400" s="141"/>
      <c r="N400" s="137"/>
      <c r="O400" s="134"/>
      <c r="P400" s="94" t="str">
        <f>IFERROR(VLOOKUP(TRIM(O400), Collection!$B$2:$D$1001, 2, FALSE), "")</f>
        <v/>
      </c>
      <c r="Q400" s="190" t="str">
        <f>IFERROR(VLOOKUP(TRIM(O400), Collection!$B$2:$D$1001, 3, FALSE), "")</f>
        <v/>
      </c>
      <c r="R400" s="153" t="str">
        <f t="shared" si="44"/>
        <v/>
      </c>
      <c r="S400" s="151"/>
      <c r="T400" s="158"/>
      <c r="U400" s="137"/>
      <c r="V400" s="137"/>
      <c r="W400" s="156" t="str">
        <f t="shared" si="48"/>
        <v/>
      </c>
      <c r="X400" s="157"/>
      <c r="Y400" s="158"/>
      <c r="Z400" s="158"/>
      <c r="AA400" s="137" t="str">
        <f t="shared" ca="1" si="49"/>
        <v/>
      </c>
      <c r="AB400" s="137" t="str">
        <f t="shared" ca="1" si="45"/>
        <v/>
      </c>
      <c r="AC400" s="160" t="str">
        <f t="shared" ca="1" si="46"/>
        <v/>
      </c>
      <c r="AD400" s="159" t="str">
        <f t="shared" ca="1" si="47"/>
        <v/>
      </c>
      <c r="AE400" s="161"/>
      <c r="AF400" s="161"/>
      <c r="AG400" s="161"/>
      <c r="AH400" s="137"/>
      <c r="AI400" s="164" t="str">
        <f t="shared" si="43"/>
        <v/>
      </c>
      <c r="AJ400" s="164" t="str">
        <f>IF(AND(OpenPendingCases[[#This Row],[Sale Status	]]="Open Sale",OpenPendingCases[[#This Row],[Potential Same Month]]="High"),TEXT(OpenPendingCases[[#This Row],[Request Entry Date]], "[$-en-us]mmmm"),"")</f>
        <v/>
      </c>
      <c r="AK400" s="165" t="str">
        <f>IFERROR(VALUE(SUBSTITUTE(OpenPendingCases[[#This Row],[Price]]," AED","")),"")</f>
        <v/>
      </c>
      <c r="AL400" s="165" t="str">
        <f>IFERROR(VALUE(LEFT(OpenPendingCases[[#This Row],[Price]],FIND(" ",OpenPendingCases[[#This Row],[Price]])-1)),"")</f>
        <v/>
      </c>
      <c r="AM400" s="165" t="str">
        <f>IFERROR(VALUE(_xlfn.TEXTBEFORE(OpenPendingCases[[#This Row],[Price]]," AED")),"")</f>
        <v/>
      </c>
      <c r="AN400" s="165"/>
    </row>
    <row r="401" spans="3:40" ht="18" hidden="1" x14ac:dyDescent="0.35">
      <c r="C401" s="134"/>
      <c r="D401" s="137" t="str">
        <f>IF($U401="Open Sale", IF(MAX($D$4:D400)+1=0, "", MAX($D$4:D400)+1), "")</f>
        <v/>
      </c>
      <c r="E401" s="137" t="str">
        <f>IF($U401="Pending Allocation", IF(MAX($E$4:E400)+1=0, "", MAX($E$4:E400)+1), "")</f>
        <v/>
      </c>
      <c r="F401" s="137"/>
      <c r="G401" s="137"/>
      <c r="H401" s="150"/>
      <c r="I401" s="150"/>
      <c r="J401" s="68" t="str">
        <f>IF(OpenPendingCases[[#This Row],[Timepiece Reference ]]="", "", IF(_xlfn.XLOOKUP(OpenPendingCases[[#This Row],[Timepiece Reference ]], Table1[[Timepiece Reference ]], Table1[CRC STOCK], "Not Found")="YES", "CRC Stock", "Boutique Stock"))</f>
        <v/>
      </c>
      <c r="K401" s="137" t="str">
        <f>IF(OpenPendingCases[[#This Row],[Timepiece Reference ]]="", "", IF(_xlfn.XLOOKUP(OpenPendingCases[[#This Row],[Timepiece Reference ]], Table1[[Timepiece Reference ]], Table1[CRC STOCK], "Not Found")="YES", "CRC Stock", "Boutique Stock"))</f>
        <v/>
      </c>
      <c r="L401" s="143"/>
      <c r="M401" s="141"/>
      <c r="N401" s="137"/>
      <c r="O401" s="134"/>
      <c r="P401" s="94" t="str">
        <f>IFERROR(VLOOKUP(TRIM(O401), Collection!$B$2:$D$1001, 2, FALSE), "")</f>
        <v/>
      </c>
      <c r="Q401" s="190" t="str">
        <f>IFERROR(VLOOKUP(TRIM(O401), Collection!$B$2:$D$1001, 3, FALSE), "")</f>
        <v/>
      </c>
      <c r="R401" s="153" t="str">
        <f t="shared" si="44"/>
        <v/>
      </c>
      <c r="S401" s="151"/>
      <c r="T401" s="158"/>
      <c r="U401" s="137"/>
      <c r="V401" s="137"/>
      <c r="W401" s="156" t="str">
        <f t="shared" si="48"/>
        <v/>
      </c>
      <c r="X401" s="157"/>
      <c r="Y401" s="158"/>
      <c r="Z401" s="158"/>
      <c r="AA401" s="137" t="str">
        <f t="shared" ca="1" si="49"/>
        <v/>
      </c>
      <c r="AB401" s="137" t="str">
        <f t="shared" ca="1" si="45"/>
        <v/>
      </c>
      <c r="AC401" s="160" t="str">
        <f t="shared" ca="1" si="46"/>
        <v/>
      </c>
      <c r="AD401" s="159" t="str">
        <f t="shared" ca="1" si="47"/>
        <v/>
      </c>
      <c r="AE401" s="161"/>
      <c r="AF401" s="161"/>
      <c r="AG401" s="161"/>
      <c r="AH401" s="137"/>
      <c r="AI401" s="164" t="str">
        <f t="shared" si="43"/>
        <v/>
      </c>
      <c r="AJ401" s="164" t="str">
        <f>IF(AND(OpenPendingCases[[#This Row],[Sale Status	]]="Open Sale",OpenPendingCases[[#This Row],[Potential Same Month]]="High"),TEXT(OpenPendingCases[[#This Row],[Request Entry Date]], "[$-en-us]mmmm"),"")</f>
        <v/>
      </c>
      <c r="AK401" s="165" t="str">
        <f>IFERROR(VALUE(SUBSTITUTE(OpenPendingCases[[#This Row],[Price]]," AED","")),"")</f>
        <v/>
      </c>
      <c r="AL401" s="165" t="str">
        <f>IFERROR(VALUE(LEFT(OpenPendingCases[[#This Row],[Price]],FIND(" ",OpenPendingCases[[#This Row],[Price]])-1)),"")</f>
        <v/>
      </c>
      <c r="AM401" s="165" t="str">
        <f>IFERROR(VALUE(_xlfn.TEXTBEFORE(OpenPendingCases[[#This Row],[Price]]," AED")),"")</f>
        <v/>
      </c>
      <c r="AN401" s="165"/>
    </row>
    <row r="402" spans="3:40" ht="18" hidden="1" x14ac:dyDescent="0.35">
      <c r="C402" s="134"/>
      <c r="D402" s="137" t="str">
        <f>IF($U402="Open Sale", IF(MAX($D$4:D401)+1=0, "", MAX($D$4:D401)+1), "")</f>
        <v/>
      </c>
      <c r="E402" s="137" t="str">
        <f>IF($U402="Pending Allocation", IF(MAX($E$4:E401)+1=0, "", MAX($E$4:E401)+1), "")</f>
        <v/>
      </c>
      <c r="F402" s="137"/>
      <c r="G402" s="137"/>
      <c r="H402" s="150"/>
      <c r="I402" s="150"/>
      <c r="J402" s="68" t="str">
        <f>IF(OpenPendingCases[[#This Row],[Timepiece Reference ]]="", "", IF(_xlfn.XLOOKUP(OpenPendingCases[[#This Row],[Timepiece Reference ]], Table1[[Timepiece Reference ]], Table1[CRC STOCK], "Not Found")="YES", "CRC Stock", "Boutique Stock"))</f>
        <v/>
      </c>
      <c r="K402" s="137" t="str">
        <f>IF(OpenPendingCases[[#This Row],[Timepiece Reference ]]="", "", IF(_xlfn.XLOOKUP(OpenPendingCases[[#This Row],[Timepiece Reference ]], Table1[[Timepiece Reference ]], Table1[CRC STOCK], "Not Found")="YES", "CRC Stock", "Boutique Stock"))</f>
        <v/>
      </c>
      <c r="L402" s="143"/>
      <c r="M402" s="141"/>
      <c r="N402" s="137"/>
      <c r="O402" s="134"/>
      <c r="P402" s="94" t="str">
        <f>IFERROR(VLOOKUP(TRIM(O402), Collection!$B$2:$D$1001, 2, FALSE), "")</f>
        <v/>
      </c>
      <c r="Q402" s="190" t="str">
        <f>IFERROR(VLOOKUP(TRIM(O402), Collection!$B$2:$D$1001, 3, FALSE), "")</f>
        <v/>
      </c>
      <c r="R402" s="153" t="str">
        <f t="shared" si="44"/>
        <v/>
      </c>
      <c r="S402" s="151"/>
      <c r="T402" s="158"/>
      <c r="U402" s="137"/>
      <c r="V402" s="137"/>
      <c r="W402" s="156" t="str">
        <f t="shared" si="48"/>
        <v/>
      </c>
      <c r="X402" s="157"/>
      <c r="Y402" s="158"/>
      <c r="Z402" s="158"/>
      <c r="AA402" s="137" t="str">
        <f t="shared" ca="1" si="49"/>
        <v/>
      </c>
      <c r="AB402" s="137" t="str">
        <f t="shared" ca="1" si="45"/>
        <v/>
      </c>
      <c r="AC402" s="160" t="str">
        <f t="shared" ca="1" si="46"/>
        <v/>
      </c>
      <c r="AD402" s="159" t="str">
        <f t="shared" ca="1" si="47"/>
        <v/>
      </c>
      <c r="AE402" s="161"/>
      <c r="AF402" s="161"/>
      <c r="AG402" s="161"/>
      <c r="AH402" s="137"/>
      <c r="AI402" s="164" t="str">
        <f t="shared" si="43"/>
        <v/>
      </c>
      <c r="AJ402" s="164" t="str">
        <f>IF(AND(OpenPendingCases[[#This Row],[Sale Status	]]="Open Sale",OpenPendingCases[[#This Row],[Potential Same Month]]="High"),TEXT(OpenPendingCases[[#This Row],[Request Entry Date]], "[$-en-us]mmmm"),"")</f>
        <v/>
      </c>
      <c r="AK402" s="165" t="str">
        <f>IFERROR(VALUE(SUBSTITUTE(OpenPendingCases[[#This Row],[Price]]," AED","")),"")</f>
        <v/>
      </c>
      <c r="AL402" s="165" t="str">
        <f>IFERROR(VALUE(LEFT(OpenPendingCases[[#This Row],[Price]],FIND(" ",OpenPendingCases[[#This Row],[Price]])-1)),"")</f>
        <v/>
      </c>
      <c r="AM402" s="165" t="str">
        <f>IFERROR(VALUE(_xlfn.TEXTBEFORE(OpenPendingCases[[#This Row],[Price]]," AED")),"")</f>
        <v/>
      </c>
      <c r="AN402" s="165"/>
    </row>
    <row r="403" spans="3:40" ht="18" hidden="1" x14ac:dyDescent="0.35">
      <c r="C403" s="134"/>
      <c r="D403" s="137" t="str">
        <f>IF($U403="Open Sale", IF(MAX($D$4:D402)+1=0, "", MAX($D$4:D402)+1), "")</f>
        <v/>
      </c>
      <c r="E403" s="137" t="str">
        <f>IF($U403="Pending Allocation", IF(MAX($E$4:E402)+1=0, "", MAX($E$4:E402)+1), "")</f>
        <v/>
      </c>
      <c r="F403" s="137"/>
      <c r="G403" s="137"/>
      <c r="H403" s="150"/>
      <c r="I403" s="150"/>
      <c r="J403" s="68" t="str">
        <f>IF(OpenPendingCases[[#This Row],[Timepiece Reference ]]="", "", IF(_xlfn.XLOOKUP(OpenPendingCases[[#This Row],[Timepiece Reference ]], Table1[[Timepiece Reference ]], Table1[CRC STOCK], "Not Found")="YES", "CRC Stock", "Boutique Stock"))</f>
        <v/>
      </c>
      <c r="K403" s="137" t="str">
        <f>IF(OpenPendingCases[[#This Row],[Timepiece Reference ]]="", "", IF(_xlfn.XLOOKUP(OpenPendingCases[[#This Row],[Timepiece Reference ]], Table1[[Timepiece Reference ]], Table1[CRC STOCK], "Not Found")="YES", "CRC Stock", "Boutique Stock"))</f>
        <v/>
      </c>
      <c r="L403" s="143"/>
      <c r="M403" s="141"/>
      <c r="N403" s="137"/>
      <c r="O403" s="134"/>
      <c r="P403" s="94" t="str">
        <f>IFERROR(VLOOKUP(TRIM(O403), Collection!$B$2:$D$1001, 2, FALSE), "")</f>
        <v/>
      </c>
      <c r="Q403" s="190" t="str">
        <f>IFERROR(VLOOKUP(TRIM(O403), Collection!$B$2:$D$1001, 3, FALSE), "")</f>
        <v/>
      </c>
      <c r="R403" s="153" t="str">
        <f t="shared" si="44"/>
        <v/>
      </c>
      <c r="S403" s="151"/>
      <c r="T403" s="158"/>
      <c r="U403" s="137"/>
      <c r="V403" s="137"/>
      <c r="W403" s="156" t="str">
        <f t="shared" si="48"/>
        <v/>
      </c>
      <c r="X403" s="157"/>
      <c r="Y403" s="158"/>
      <c r="Z403" s="158"/>
      <c r="AA403" s="137" t="str">
        <f t="shared" ca="1" si="49"/>
        <v/>
      </c>
      <c r="AB403" s="137" t="str">
        <f t="shared" ca="1" si="45"/>
        <v/>
      </c>
      <c r="AC403" s="160" t="str">
        <f t="shared" ca="1" si="46"/>
        <v/>
      </c>
      <c r="AD403" s="159" t="str">
        <f t="shared" ca="1" si="47"/>
        <v/>
      </c>
      <c r="AE403" s="161"/>
      <c r="AF403" s="161"/>
      <c r="AG403" s="161"/>
      <c r="AH403" s="137"/>
      <c r="AI403" s="164" t="str">
        <f t="shared" si="43"/>
        <v/>
      </c>
      <c r="AJ403" s="164" t="str">
        <f>IF(AND(OpenPendingCases[[#This Row],[Sale Status	]]="Open Sale",OpenPendingCases[[#This Row],[Potential Same Month]]="High"),TEXT(OpenPendingCases[[#This Row],[Request Entry Date]], "[$-en-us]mmmm"),"")</f>
        <v/>
      </c>
      <c r="AK403" s="165" t="str">
        <f>IFERROR(VALUE(SUBSTITUTE(OpenPendingCases[[#This Row],[Price]]," AED","")),"")</f>
        <v/>
      </c>
      <c r="AL403" s="165" t="str">
        <f>IFERROR(VALUE(LEFT(OpenPendingCases[[#This Row],[Price]],FIND(" ",OpenPendingCases[[#This Row],[Price]])-1)),"")</f>
        <v/>
      </c>
      <c r="AM403" s="165" t="str">
        <f>IFERROR(VALUE(_xlfn.TEXTBEFORE(OpenPendingCases[[#This Row],[Price]]," AED")),"")</f>
        <v/>
      </c>
      <c r="AN403" s="165"/>
    </row>
    <row r="404" spans="3:40" ht="18" hidden="1" x14ac:dyDescent="0.35">
      <c r="C404" s="134"/>
      <c r="D404" s="137" t="str">
        <f>IF($U404="Open Sale", IF(MAX($D$4:D403)+1=0, "", MAX($D$4:D403)+1), "")</f>
        <v/>
      </c>
      <c r="E404" s="137" t="str">
        <f>IF($U404="Pending Allocation", IF(MAX($E$4:E403)+1=0, "", MAX($E$4:E403)+1), "")</f>
        <v/>
      </c>
      <c r="F404" s="137"/>
      <c r="G404" s="137"/>
      <c r="H404" s="150"/>
      <c r="I404" s="150"/>
      <c r="J404" s="68" t="str">
        <f>IF(OpenPendingCases[[#This Row],[Timepiece Reference ]]="", "", IF(_xlfn.XLOOKUP(OpenPendingCases[[#This Row],[Timepiece Reference ]], Table1[[Timepiece Reference ]], Table1[CRC STOCK], "Not Found")="YES", "CRC Stock", "Boutique Stock"))</f>
        <v/>
      </c>
      <c r="K404" s="137" t="str">
        <f>IF(OpenPendingCases[[#This Row],[Timepiece Reference ]]="", "", IF(_xlfn.XLOOKUP(OpenPendingCases[[#This Row],[Timepiece Reference ]], Table1[[Timepiece Reference ]], Table1[CRC STOCK], "Not Found")="YES", "CRC Stock", "Boutique Stock"))</f>
        <v/>
      </c>
      <c r="L404" s="143"/>
      <c r="M404" s="141"/>
      <c r="N404" s="137"/>
      <c r="O404" s="134"/>
      <c r="P404" s="94" t="str">
        <f>IFERROR(VLOOKUP(TRIM(O404), Collection!$B$2:$D$1001, 2, FALSE), "")</f>
        <v/>
      </c>
      <c r="Q404" s="190" t="str">
        <f>IFERROR(VLOOKUP(TRIM(O404), Collection!$B$2:$D$1001, 3, FALSE), "")</f>
        <v/>
      </c>
      <c r="R404" s="153" t="str">
        <f t="shared" si="44"/>
        <v/>
      </c>
      <c r="S404" s="151"/>
      <c r="T404" s="158"/>
      <c r="U404" s="137"/>
      <c r="V404" s="137"/>
      <c r="W404" s="156" t="str">
        <f t="shared" si="48"/>
        <v/>
      </c>
      <c r="X404" s="157"/>
      <c r="Y404" s="158"/>
      <c r="Z404" s="158"/>
      <c r="AA404" s="137" t="str">
        <f t="shared" ca="1" si="49"/>
        <v/>
      </c>
      <c r="AB404" s="137" t="str">
        <f t="shared" ca="1" si="45"/>
        <v/>
      </c>
      <c r="AC404" s="160" t="str">
        <f t="shared" ca="1" si="46"/>
        <v/>
      </c>
      <c r="AD404" s="159" t="str">
        <f t="shared" ca="1" si="47"/>
        <v/>
      </c>
      <c r="AE404" s="161"/>
      <c r="AF404" s="161"/>
      <c r="AG404" s="161"/>
      <c r="AH404" s="137"/>
      <c r="AI404" s="164" t="str">
        <f t="shared" si="43"/>
        <v/>
      </c>
      <c r="AJ404" s="164" t="str">
        <f>IF(AND(OpenPendingCases[[#This Row],[Sale Status	]]="Open Sale",OpenPendingCases[[#This Row],[Potential Same Month]]="High"),TEXT(OpenPendingCases[[#This Row],[Request Entry Date]], "[$-en-us]mmmm"),"")</f>
        <v/>
      </c>
      <c r="AK404" s="165" t="str">
        <f>IFERROR(VALUE(SUBSTITUTE(OpenPendingCases[[#This Row],[Price]]," AED","")),"")</f>
        <v/>
      </c>
      <c r="AL404" s="165" t="str">
        <f>IFERROR(VALUE(LEFT(OpenPendingCases[[#This Row],[Price]],FIND(" ",OpenPendingCases[[#This Row],[Price]])-1)),"")</f>
        <v/>
      </c>
      <c r="AM404" s="165" t="str">
        <f>IFERROR(VALUE(_xlfn.TEXTBEFORE(OpenPendingCases[[#This Row],[Price]]," AED")),"")</f>
        <v/>
      </c>
      <c r="AN404" s="165"/>
    </row>
    <row r="405" spans="3:40" ht="18" hidden="1" x14ac:dyDescent="0.35">
      <c r="C405" s="134"/>
      <c r="D405" s="137" t="str">
        <f>IF($U405="Open Sale", IF(MAX($D$4:D404)+1=0, "", MAX($D$4:D404)+1), "")</f>
        <v/>
      </c>
      <c r="E405" s="137" t="str">
        <f>IF($U405="Pending Allocation", IF(MAX($E$4:E404)+1=0, "", MAX($E$4:E404)+1), "")</f>
        <v/>
      </c>
      <c r="F405" s="137"/>
      <c r="G405" s="137"/>
      <c r="H405" s="150"/>
      <c r="I405" s="150"/>
      <c r="J405" s="68" t="str">
        <f>IF(OpenPendingCases[[#This Row],[Timepiece Reference ]]="", "", IF(_xlfn.XLOOKUP(OpenPendingCases[[#This Row],[Timepiece Reference ]], Table1[[Timepiece Reference ]], Table1[CRC STOCK], "Not Found")="YES", "CRC Stock", "Boutique Stock"))</f>
        <v/>
      </c>
      <c r="K405" s="137" t="str">
        <f>IF(OpenPendingCases[[#This Row],[Timepiece Reference ]]="", "", IF(_xlfn.XLOOKUP(OpenPendingCases[[#This Row],[Timepiece Reference ]], Table1[[Timepiece Reference ]], Table1[CRC STOCK], "Not Found")="YES", "CRC Stock", "Boutique Stock"))</f>
        <v/>
      </c>
      <c r="L405" s="143"/>
      <c r="M405" s="141"/>
      <c r="N405" s="137"/>
      <c r="O405" s="134"/>
      <c r="P405" s="94" t="str">
        <f>IFERROR(VLOOKUP(TRIM(O405), Collection!$B$2:$D$1001, 2, FALSE), "")</f>
        <v/>
      </c>
      <c r="Q405" s="190" t="str">
        <f>IFERROR(VLOOKUP(TRIM(O405), Collection!$B$2:$D$1001, 3, FALSE), "")</f>
        <v/>
      </c>
      <c r="R405" s="153" t="str">
        <f t="shared" si="44"/>
        <v/>
      </c>
      <c r="S405" s="151"/>
      <c r="T405" s="158"/>
      <c r="U405" s="137"/>
      <c r="V405" s="137"/>
      <c r="W405" s="156" t="str">
        <f t="shared" si="48"/>
        <v/>
      </c>
      <c r="X405" s="157"/>
      <c r="Y405" s="158"/>
      <c r="Z405" s="158"/>
      <c r="AA405" s="137" t="str">
        <f t="shared" ca="1" si="49"/>
        <v/>
      </c>
      <c r="AB405" s="137" t="str">
        <f t="shared" ca="1" si="45"/>
        <v/>
      </c>
      <c r="AC405" s="160" t="str">
        <f t="shared" ca="1" si="46"/>
        <v/>
      </c>
      <c r="AD405" s="159" t="str">
        <f t="shared" ca="1" si="47"/>
        <v/>
      </c>
      <c r="AE405" s="161"/>
      <c r="AF405" s="161"/>
      <c r="AG405" s="161"/>
      <c r="AH405" s="137"/>
      <c r="AI405" s="164" t="str">
        <f t="shared" si="43"/>
        <v/>
      </c>
      <c r="AJ405" s="164" t="str">
        <f>IF(AND(OpenPendingCases[[#This Row],[Sale Status	]]="Open Sale",OpenPendingCases[[#This Row],[Potential Same Month]]="High"),TEXT(OpenPendingCases[[#This Row],[Request Entry Date]], "[$-en-us]mmmm"),"")</f>
        <v/>
      </c>
      <c r="AK405" s="165" t="str">
        <f>IFERROR(VALUE(SUBSTITUTE(OpenPendingCases[[#This Row],[Price]]," AED","")),"")</f>
        <v/>
      </c>
      <c r="AL405" s="165" t="str">
        <f>IFERROR(VALUE(LEFT(OpenPendingCases[[#This Row],[Price]],FIND(" ",OpenPendingCases[[#This Row],[Price]])-1)),"")</f>
        <v/>
      </c>
      <c r="AM405" s="165" t="str">
        <f>IFERROR(VALUE(_xlfn.TEXTBEFORE(OpenPendingCases[[#This Row],[Price]]," AED")),"")</f>
        <v/>
      </c>
      <c r="AN405" s="165"/>
    </row>
    <row r="406" spans="3:40" ht="18" hidden="1" x14ac:dyDescent="0.35">
      <c r="C406" s="134"/>
      <c r="D406" s="137" t="str">
        <f>IF($U406="Open Sale", IF(MAX($D$4:D405)+1=0, "", MAX($D$4:D405)+1), "")</f>
        <v/>
      </c>
      <c r="E406" s="137" t="str">
        <f>IF($U406="Pending Allocation", IF(MAX($E$4:E405)+1=0, "", MAX($E$4:E405)+1), "")</f>
        <v/>
      </c>
      <c r="F406" s="137"/>
      <c r="G406" s="137"/>
      <c r="H406" s="150"/>
      <c r="I406" s="150"/>
      <c r="J406" s="68" t="str">
        <f>IF(OpenPendingCases[[#This Row],[Timepiece Reference ]]="", "", IF(_xlfn.XLOOKUP(OpenPendingCases[[#This Row],[Timepiece Reference ]], Table1[[Timepiece Reference ]], Table1[CRC STOCK], "Not Found")="YES", "CRC Stock", "Boutique Stock"))</f>
        <v/>
      </c>
      <c r="K406" s="137" t="str">
        <f>IF(OpenPendingCases[[#This Row],[Timepiece Reference ]]="", "", IF(_xlfn.XLOOKUP(OpenPendingCases[[#This Row],[Timepiece Reference ]], Table1[[Timepiece Reference ]], Table1[CRC STOCK], "Not Found")="YES", "CRC Stock", "Boutique Stock"))</f>
        <v/>
      </c>
      <c r="L406" s="143"/>
      <c r="M406" s="141"/>
      <c r="N406" s="137"/>
      <c r="O406" s="134"/>
      <c r="P406" s="94" t="str">
        <f>IFERROR(VLOOKUP(TRIM(O406), Collection!$B$2:$D$1001, 2, FALSE), "")</f>
        <v/>
      </c>
      <c r="Q406" s="190" t="str">
        <f>IFERROR(VLOOKUP(TRIM(O406), Collection!$B$2:$D$1001, 3, FALSE), "")</f>
        <v/>
      </c>
      <c r="R406" s="153" t="str">
        <f t="shared" si="44"/>
        <v/>
      </c>
      <c r="S406" s="151"/>
      <c r="T406" s="158"/>
      <c r="U406" s="137"/>
      <c r="V406" s="137"/>
      <c r="W406" s="156" t="str">
        <f t="shared" si="48"/>
        <v/>
      </c>
      <c r="X406" s="157"/>
      <c r="Y406" s="158"/>
      <c r="Z406" s="158"/>
      <c r="AA406" s="137" t="str">
        <f t="shared" ca="1" si="49"/>
        <v/>
      </c>
      <c r="AB406" s="137" t="str">
        <f t="shared" ca="1" si="45"/>
        <v/>
      </c>
      <c r="AC406" s="160" t="str">
        <f t="shared" ca="1" si="46"/>
        <v/>
      </c>
      <c r="AD406" s="159" t="str">
        <f t="shared" ca="1" si="47"/>
        <v/>
      </c>
      <c r="AE406" s="161"/>
      <c r="AF406" s="161"/>
      <c r="AG406" s="161"/>
      <c r="AH406" s="137"/>
      <c r="AI406" s="164" t="str">
        <f t="shared" ref="AI406:AI469" si="50">IF(I406="","",TEXT(I406, "mmmm yyyy"))</f>
        <v/>
      </c>
      <c r="AJ406" s="164" t="str">
        <f>IF(AND(OpenPendingCases[[#This Row],[Sale Status	]]="Open Sale",OpenPendingCases[[#This Row],[Potential Same Month]]="High"),TEXT(OpenPendingCases[[#This Row],[Request Entry Date]], "[$-en-us]mmmm"),"")</f>
        <v/>
      </c>
      <c r="AK406" s="165" t="str">
        <f>IFERROR(VALUE(SUBSTITUTE(OpenPendingCases[[#This Row],[Price]]," AED","")),"")</f>
        <v/>
      </c>
      <c r="AL406" s="165" t="str">
        <f>IFERROR(VALUE(LEFT(OpenPendingCases[[#This Row],[Price]],FIND(" ",OpenPendingCases[[#This Row],[Price]])-1)),"")</f>
        <v/>
      </c>
      <c r="AM406" s="165" t="str">
        <f>IFERROR(VALUE(_xlfn.TEXTBEFORE(OpenPendingCases[[#This Row],[Price]]," AED")),"")</f>
        <v/>
      </c>
      <c r="AN406" s="165"/>
    </row>
    <row r="407" spans="3:40" ht="18" hidden="1" x14ac:dyDescent="0.35">
      <c r="C407" s="134"/>
      <c r="D407" s="137" t="str">
        <f>IF($U407="Open Sale", IF(MAX($D$4:D406)+1=0, "", MAX($D$4:D406)+1), "")</f>
        <v/>
      </c>
      <c r="E407" s="137" t="str">
        <f>IF($U407="Pending Allocation", IF(MAX($E$4:E406)+1=0, "", MAX($E$4:E406)+1), "")</f>
        <v/>
      </c>
      <c r="F407" s="137"/>
      <c r="G407" s="137"/>
      <c r="H407" s="150"/>
      <c r="I407" s="150"/>
      <c r="J407" s="68" t="str">
        <f>IF(OpenPendingCases[[#This Row],[Timepiece Reference ]]="", "", IF(_xlfn.XLOOKUP(OpenPendingCases[[#This Row],[Timepiece Reference ]], Table1[[Timepiece Reference ]], Table1[CRC STOCK], "Not Found")="YES", "CRC Stock", "Boutique Stock"))</f>
        <v/>
      </c>
      <c r="K407" s="137" t="str">
        <f>IF(OpenPendingCases[[#This Row],[Timepiece Reference ]]="", "", IF(_xlfn.XLOOKUP(OpenPendingCases[[#This Row],[Timepiece Reference ]], Table1[[Timepiece Reference ]], Table1[CRC STOCK], "Not Found")="YES", "CRC Stock", "Boutique Stock"))</f>
        <v/>
      </c>
      <c r="L407" s="143"/>
      <c r="M407" s="141"/>
      <c r="N407" s="137"/>
      <c r="O407" s="134"/>
      <c r="P407" s="94" t="str">
        <f>IFERROR(VLOOKUP(TRIM(O407), Collection!$B$2:$D$1001, 2, FALSE), "")</f>
        <v/>
      </c>
      <c r="Q407" s="190" t="str">
        <f>IFERROR(VLOOKUP(TRIM(O407), Collection!$B$2:$D$1001, 3, FALSE), "")</f>
        <v/>
      </c>
      <c r="R407" s="153" t="str">
        <f t="shared" si="44"/>
        <v/>
      </c>
      <c r="S407" s="151"/>
      <c r="T407" s="158"/>
      <c r="U407" s="137"/>
      <c r="V407" s="137"/>
      <c r="W407" s="156" t="str">
        <f t="shared" si="48"/>
        <v/>
      </c>
      <c r="X407" s="157"/>
      <c r="Y407" s="158"/>
      <c r="Z407" s="158"/>
      <c r="AA407" s="137" t="str">
        <f t="shared" ca="1" si="49"/>
        <v/>
      </c>
      <c r="AB407" s="137" t="str">
        <f t="shared" ca="1" si="45"/>
        <v/>
      </c>
      <c r="AC407" s="160" t="str">
        <f t="shared" ca="1" si="46"/>
        <v/>
      </c>
      <c r="AD407" s="159" t="str">
        <f t="shared" ca="1" si="47"/>
        <v/>
      </c>
      <c r="AE407" s="161"/>
      <c r="AF407" s="161"/>
      <c r="AG407" s="161"/>
      <c r="AH407" s="137"/>
      <c r="AI407" s="164" t="str">
        <f t="shared" si="50"/>
        <v/>
      </c>
      <c r="AJ407" s="164" t="str">
        <f>IF(AND(OpenPendingCases[[#This Row],[Sale Status	]]="Open Sale",OpenPendingCases[[#This Row],[Potential Same Month]]="High"),TEXT(OpenPendingCases[[#This Row],[Request Entry Date]], "[$-en-us]mmmm"),"")</f>
        <v/>
      </c>
      <c r="AK407" s="165" t="str">
        <f>IFERROR(VALUE(SUBSTITUTE(OpenPendingCases[[#This Row],[Price]]," AED","")),"")</f>
        <v/>
      </c>
      <c r="AL407" s="165" t="str">
        <f>IFERROR(VALUE(LEFT(OpenPendingCases[[#This Row],[Price]],FIND(" ",OpenPendingCases[[#This Row],[Price]])-1)),"")</f>
        <v/>
      </c>
      <c r="AM407" s="165" t="str">
        <f>IFERROR(VALUE(_xlfn.TEXTBEFORE(OpenPendingCases[[#This Row],[Price]]," AED")),"")</f>
        <v/>
      </c>
      <c r="AN407" s="165"/>
    </row>
    <row r="408" spans="3:40" ht="18" hidden="1" x14ac:dyDescent="0.35">
      <c r="C408" s="134"/>
      <c r="D408" s="137" t="str">
        <f>IF($U408="Open Sale", IF(MAX($D$4:D407)+1=0, "", MAX($D$4:D407)+1), "")</f>
        <v/>
      </c>
      <c r="E408" s="137" t="str">
        <f>IF($U408="Pending Allocation", IF(MAX($E$4:E407)+1=0, "", MAX($E$4:E407)+1), "")</f>
        <v/>
      </c>
      <c r="F408" s="137"/>
      <c r="G408" s="137"/>
      <c r="H408" s="150"/>
      <c r="I408" s="150"/>
      <c r="J408" s="68" t="str">
        <f>IF(OpenPendingCases[[#This Row],[Timepiece Reference ]]="", "", IF(_xlfn.XLOOKUP(OpenPendingCases[[#This Row],[Timepiece Reference ]], Table1[[Timepiece Reference ]], Table1[CRC STOCK], "Not Found")="YES", "CRC Stock", "Boutique Stock"))</f>
        <v/>
      </c>
      <c r="K408" s="137" t="str">
        <f>IF(OpenPendingCases[[#This Row],[Timepiece Reference ]]="", "", IF(_xlfn.XLOOKUP(OpenPendingCases[[#This Row],[Timepiece Reference ]], Table1[[Timepiece Reference ]], Table1[CRC STOCK], "Not Found")="YES", "CRC Stock", "Boutique Stock"))</f>
        <v/>
      </c>
      <c r="L408" s="143"/>
      <c r="M408" s="141"/>
      <c r="N408" s="137"/>
      <c r="O408" s="134"/>
      <c r="P408" s="94" t="str">
        <f>IFERROR(VLOOKUP(TRIM(O408), Collection!$B$2:$D$1001, 2, FALSE), "")</f>
        <v/>
      </c>
      <c r="Q408" s="190" t="str">
        <f>IFERROR(VLOOKUP(TRIM(O408), Collection!$B$2:$D$1001, 3, FALSE), "")</f>
        <v/>
      </c>
      <c r="R408" s="153" t="str">
        <f t="shared" si="44"/>
        <v/>
      </c>
      <c r="S408" s="151"/>
      <c r="T408" s="158"/>
      <c r="U408" s="137"/>
      <c r="V408" s="137"/>
      <c r="W408" s="156" t="str">
        <f t="shared" si="48"/>
        <v/>
      </c>
      <c r="X408" s="157"/>
      <c r="Y408" s="158"/>
      <c r="Z408" s="158"/>
      <c r="AA408" s="137" t="str">
        <f t="shared" ca="1" si="49"/>
        <v/>
      </c>
      <c r="AB408" s="137" t="str">
        <f t="shared" ca="1" si="45"/>
        <v/>
      </c>
      <c r="AC408" s="160" t="str">
        <f t="shared" ca="1" si="46"/>
        <v/>
      </c>
      <c r="AD408" s="159" t="str">
        <f t="shared" ca="1" si="47"/>
        <v/>
      </c>
      <c r="AE408" s="161"/>
      <c r="AF408" s="161"/>
      <c r="AG408" s="161"/>
      <c r="AH408" s="137"/>
      <c r="AI408" s="164" t="str">
        <f t="shared" si="50"/>
        <v/>
      </c>
      <c r="AJ408" s="164" t="str">
        <f>IF(AND(OpenPendingCases[[#This Row],[Sale Status	]]="Open Sale",OpenPendingCases[[#This Row],[Potential Same Month]]="High"),TEXT(OpenPendingCases[[#This Row],[Request Entry Date]], "[$-en-us]mmmm"),"")</f>
        <v/>
      </c>
      <c r="AK408" s="165" t="str">
        <f>IFERROR(VALUE(SUBSTITUTE(OpenPendingCases[[#This Row],[Price]]," AED","")),"")</f>
        <v/>
      </c>
      <c r="AL408" s="165" t="str">
        <f>IFERROR(VALUE(LEFT(OpenPendingCases[[#This Row],[Price]],FIND(" ",OpenPendingCases[[#This Row],[Price]])-1)),"")</f>
        <v/>
      </c>
      <c r="AM408" s="165" t="str">
        <f>IFERROR(VALUE(_xlfn.TEXTBEFORE(OpenPendingCases[[#This Row],[Price]]," AED")),"")</f>
        <v/>
      </c>
      <c r="AN408" s="165"/>
    </row>
    <row r="409" spans="3:40" ht="18" hidden="1" x14ac:dyDescent="0.35">
      <c r="C409" s="134"/>
      <c r="D409" s="137" t="str">
        <f>IF($U409="Open Sale", IF(MAX($D$4:D408)+1=0, "", MAX($D$4:D408)+1), "")</f>
        <v/>
      </c>
      <c r="E409" s="137" t="str">
        <f>IF($U409="Pending Allocation", IF(MAX($E$4:E408)+1=0, "", MAX($E$4:E408)+1), "")</f>
        <v/>
      </c>
      <c r="F409" s="137"/>
      <c r="G409" s="137"/>
      <c r="H409" s="150"/>
      <c r="I409" s="150"/>
      <c r="J409" s="68" t="str">
        <f>IF(OpenPendingCases[[#This Row],[Timepiece Reference ]]="", "", IF(_xlfn.XLOOKUP(OpenPendingCases[[#This Row],[Timepiece Reference ]], Table1[[Timepiece Reference ]], Table1[CRC STOCK], "Not Found")="YES", "CRC Stock", "Boutique Stock"))</f>
        <v/>
      </c>
      <c r="K409" s="137" t="str">
        <f>IF(OpenPendingCases[[#This Row],[Timepiece Reference ]]="", "", IF(_xlfn.XLOOKUP(OpenPendingCases[[#This Row],[Timepiece Reference ]], Table1[[Timepiece Reference ]], Table1[CRC STOCK], "Not Found")="YES", "CRC Stock", "Boutique Stock"))</f>
        <v/>
      </c>
      <c r="L409" s="143"/>
      <c r="M409" s="141"/>
      <c r="N409" s="137"/>
      <c r="O409" s="134"/>
      <c r="P409" s="94" t="str">
        <f>IFERROR(VLOOKUP(TRIM(O409), Collection!$B$2:$D$1001, 2, FALSE), "")</f>
        <v/>
      </c>
      <c r="Q409" s="190" t="str">
        <f>IFERROR(VLOOKUP(TRIM(O409), Collection!$B$2:$D$1001, 3, FALSE), "")</f>
        <v/>
      </c>
      <c r="R409" s="153" t="str">
        <f t="shared" si="44"/>
        <v/>
      </c>
      <c r="S409" s="151"/>
      <c r="T409" s="158"/>
      <c r="U409" s="137"/>
      <c r="V409" s="137"/>
      <c r="W409" s="156" t="str">
        <f t="shared" si="48"/>
        <v/>
      </c>
      <c r="X409" s="157"/>
      <c r="Y409" s="158"/>
      <c r="Z409" s="158"/>
      <c r="AA409" s="137" t="str">
        <f t="shared" ca="1" si="49"/>
        <v/>
      </c>
      <c r="AB409" s="137" t="str">
        <f t="shared" ca="1" si="45"/>
        <v/>
      </c>
      <c r="AC409" s="160" t="str">
        <f t="shared" ca="1" si="46"/>
        <v/>
      </c>
      <c r="AD409" s="159" t="str">
        <f t="shared" ca="1" si="47"/>
        <v/>
      </c>
      <c r="AE409" s="161"/>
      <c r="AF409" s="161"/>
      <c r="AG409" s="161"/>
      <c r="AH409" s="137"/>
      <c r="AI409" s="164" t="str">
        <f t="shared" si="50"/>
        <v/>
      </c>
      <c r="AJ409" s="164" t="str">
        <f>IF(AND(OpenPendingCases[[#This Row],[Sale Status	]]="Open Sale",OpenPendingCases[[#This Row],[Potential Same Month]]="High"),TEXT(OpenPendingCases[[#This Row],[Request Entry Date]], "[$-en-us]mmmm"),"")</f>
        <v/>
      </c>
      <c r="AK409" s="165" t="str">
        <f>IFERROR(VALUE(SUBSTITUTE(OpenPendingCases[[#This Row],[Price]]," AED","")),"")</f>
        <v/>
      </c>
      <c r="AL409" s="165" t="str">
        <f>IFERROR(VALUE(LEFT(OpenPendingCases[[#This Row],[Price]],FIND(" ",OpenPendingCases[[#This Row],[Price]])-1)),"")</f>
        <v/>
      </c>
      <c r="AM409" s="165" t="str">
        <f>IFERROR(VALUE(_xlfn.TEXTBEFORE(OpenPendingCases[[#This Row],[Price]]," AED")),"")</f>
        <v/>
      </c>
      <c r="AN409" s="165"/>
    </row>
    <row r="410" spans="3:40" ht="18" hidden="1" x14ac:dyDescent="0.35">
      <c r="C410" s="134"/>
      <c r="D410" s="137" t="str">
        <f>IF($U410="Open Sale", IF(MAX($D$4:D409)+1=0, "", MAX($D$4:D409)+1), "")</f>
        <v/>
      </c>
      <c r="E410" s="137" t="str">
        <f>IF($U410="Pending Allocation", IF(MAX($E$4:E409)+1=0, "", MAX($E$4:E409)+1), "")</f>
        <v/>
      </c>
      <c r="F410" s="137"/>
      <c r="G410" s="137"/>
      <c r="H410" s="150"/>
      <c r="I410" s="150"/>
      <c r="J410" s="68" t="str">
        <f>IF(OpenPendingCases[[#This Row],[Timepiece Reference ]]="", "", IF(_xlfn.XLOOKUP(OpenPendingCases[[#This Row],[Timepiece Reference ]], Table1[[Timepiece Reference ]], Table1[CRC STOCK], "Not Found")="YES", "CRC Stock", "Boutique Stock"))</f>
        <v/>
      </c>
      <c r="K410" s="137" t="str">
        <f>IF(OpenPendingCases[[#This Row],[Timepiece Reference ]]="", "", IF(_xlfn.XLOOKUP(OpenPendingCases[[#This Row],[Timepiece Reference ]], Table1[[Timepiece Reference ]], Table1[CRC STOCK], "Not Found")="YES", "CRC Stock", "Boutique Stock"))</f>
        <v/>
      </c>
      <c r="L410" s="143"/>
      <c r="M410" s="141"/>
      <c r="N410" s="137"/>
      <c r="O410" s="134"/>
      <c r="P410" s="94" t="str">
        <f>IFERROR(VLOOKUP(TRIM(O410), Collection!$B$2:$D$1001, 2, FALSE), "")</f>
        <v/>
      </c>
      <c r="Q410" s="190" t="str">
        <f>IFERROR(VLOOKUP(TRIM(O410), Collection!$B$2:$D$1001, 3, FALSE), "")</f>
        <v/>
      </c>
      <c r="R410" s="153" t="str">
        <f t="shared" si="44"/>
        <v/>
      </c>
      <c r="S410" s="151"/>
      <c r="T410" s="158"/>
      <c r="U410" s="137"/>
      <c r="V410" s="137"/>
      <c r="W410" s="156" t="str">
        <f t="shared" si="48"/>
        <v/>
      </c>
      <c r="X410" s="157"/>
      <c r="Y410" s="158"/>
      <c r="Z410" s="158"/>
      <c r="AA410" s="137" t="str">
        <f t="shared" ca="1" si="49"/>
        <v/>
      </c>
      <c r="AB410" s="137" t="str">
        <f t="shared" ca="1" si="45"/>
        <v/>
      </c>
      <c r="AC410" s="160" t="str">
        <f t="shared" ca="1" si="46"/>
        <v/>
      </c>
      <c r="AD410" s="159" t="str">
        <f t="shared" ca="1" si="47"/>
        <v/>
      </c>
      <c r="AE410" s="161"/>
      <c r="AF410" s="161"/>
      <c r="AG410" s="161"/>
      <c r="AH410" s="137"/>
      <c r="AI410" s="164" t="str">
        <f t="shared" si="50"/>
        <v/>
      </c>
      <c r="AJ410" s="164" t="str">
        <f>IF(AND(OpenPendingCases[[#This Row],[Sale Status	]]="Open Sale",OpenPendingCases[[#This Row],[Potential Same Month]]="High"),TEXT(OpenPendingCases[[#This Row],[Request Entry Date]], "[$-en-us]mmmm"),"")</f>
        <v/>
      </c>
      <c r="AK410" s="165" t="str">
        <f>IFERROR(VALUE(SUBSTITUTE(OpenPendingCases[[#This Row],[Price]]," AED","")),"")</f>
        <v/>
      </c>
      <c r="AL410" s="165" t="str">
        <f>IFERROR(VALUE(LEFT(OpenPendingCases[[#This Row],[Price]],FIND(" ",OpenPendingCases[[#This Row],[Price]])-1)),"")</f>
        <v/>
      </c>
      <c r="AM410" s="165" t="str">
        <f>IFERROR(VALUE(_xlfn.TEXTBEFORE(OpenPendingCases[[#This Row],[Price]]," AED")),"")</f>
        <v/>
      </c>
      <c r="AN410" s="165"/>
    </row>
    <row r="411" spans="3:40" ht="18" hidden="1" x14ac:dyDescent="0.35">
      <c r="C411" s="134"/>
      <c r="D411" s="137" t="str">
        <f>IF($U411="Open Sale", IF(MAX($D$4:D410)+1=0, "", MAX($D$4:D410)+1), "")</f>
        <v/>
      </c>
      <c r="E411" s="137" t="str">
        <f>IF($U411="Pending Allocation", IF(MAX($E$4:E410)+1=0, "", MAX($E$4:E410)+1), "")</f>
        <v/>
      </c>
      <c r="F411" s="137"/>
      <c r="G411" s="137"/>
      <c r="H411" s="150"/>
      <c r="I411" s="150"/>
      <c r="J411" s="68" t="str">
        <f>IF(OpenPendingCases[[#This Row],[Timepiece Reference ]]="", "", IF(_xlfn.XLOOKUP(OpenPendingCases[[#This Row],[Timepiece Reference ]], Table1[[Timepiece Reference ]], Table1[CRC STOCK], "Not Found")="YES", "CRC Stock", "Boutique Stock"))</f>
        <v/>
      </c>
      <c r="K411" s="137" t="str">
        <f>IF(OpenPendingCases[[#This Row],[Timepiece Reference ]]="", "", IF(_xlfn.XLOOKUP(OpenPendingCases[[#This Row],[Timepiece Reference ]], Table1[[Timepiece Reference ]], Table1[CRC STOCK], "Not Found")="YES", "CRC Stock", "Boutique Stock"))</f>
        <v/>
      </c>
      <c r="L411" s="143"/>
      <c r="M411" s="141"/>
      <c r="N411" s="137"/>
      <c r="O411" s="134"/>
      <c r="P411" s="94" t="str">
        <f>IFERROR(VLOOKUP(TRIM(O411), Collection!$B$2:$D$1001, 2, FALSE), "")</f>
        <v/>
      </c>
      <c r="Q411" s="190" t="str">
        <f>IFERROR(VLOOKUP(TRIM(O411), Collection!$B$2:$D$1001, 3, FALSE), "")</f>
        <v/>
      </c>
      <c r="R411" s="153" t="str">
        <f t="shared" si="44"/>
        <v/>
      </c>
      <c r="S411" s="151"/>
      <c r="T411" s="158"/>
      <c r="U411" s="137"/>
      <c r="V411" s="137"/>
      <c r="W411" s="156" t="str">
        <f t="shared" si="48"/>
        <v/>
      </c>
      <c r="X411" s="157"/>
      <c r="Y411" s="158"/>
      <c r="Z411" s="158"/>
      <c r="AA411" s="137" t="str">
        <f t="shared" ca="1" si="49"/>
        <v/>
      </c>
      <c r="AB411" s="137" t="str">
        <f t="shared" ca="1" si="45"/>
        <v/>
      </c>
      <c r="AC411" s="160" t="str">
        <f t="shared" ca="1" si="46"/>
        <v/>
      </c>
      <c r="AD411" s="159" t="str">
        <f t="shared" ca="1" si="47"/>
        <v/>
      </c>
      <c r="AE411" s="161"/>
      <c r="AF411" s="161"/>
      <c r="AG411" s="161"/>
      <c r="AH411" s="137"/>
      <c r="AI411" s="164" t="str">
        <f t="shared" si="50"/>
        <v/>
      </c>
      <c r="AJ411" s="164" t="str">
        <f>IF(AND(OpenPendingCases[[#This Row],[Sale Status	]]="Open Sale",OpenPendingCases[[#This Row],[Potential Same Month]]="High"),TEXT(OpenPendingCases[[#This Row],[Request Entry Date]], "[$-en-us]mmmm"),"")</f>
        <v/>
      </c>
      <c r="AK411" s="165" t="str">
        <f>IFERROR(VALUE(SUBSTITUTE(OpenPendingCases[[#This Row],[Price]]," AED","")),"")</f>
        <v/>
      </c>
      <c r="AL411" s="165" t="str">
        <f>IFERROR(VALUE(LEFT(OpenPendingCases[[#This Row],[Price]],FIND(" ",OpenPendingCases[[#This Row],[Price]])-1)),"")</f>
        <v/>
      </c>
      <c r="AM411" s="165" t="str">
        <f>IFERROR(VALUE(_xlfn.TEXTBEFORE(OpenPendingCases[[#This Row],[Price]]," AED")),"")</f>
        <v/>
      </c>
      <c r="AN411" s="165"/>
    </row>
    <row r="412" spans="3:40" ht="18" hidden="1" x14ac:dyDescent="0.35">
      <c r="C412" s="134"/>
      <c r="D412" s="137" t="str">
        <f>IF($U412="Open Sale", IF(MAX($D$4:D411)+1=0, "", MAX($D$4:D411)+1), "")</f>
        <v/>
      </c>
      <c r="E412" s="137" t="str">
        <f>IF($U412="Pending Allocation", IF(MAX($E$4:E411)+1=0, "", MAX($E$4:E411)+1), "")</f>
        <v/>
      </c>
      <c r="F412" s="137"/>
      <c r="G412" s="137"/>
      <c r="H412" s="150"/>
      <c r="I412" s="150"/>
      <c r="J412" s="68" t="str">
        <f>IF(OpenPendingCases[[#This Row],[Timepiece Reference ]]="", "", IF(_xlfn.XLOOKUP(OpenPendingCases[[#This Row],[Timepiece Reference ]], Table1[[Timepiece Reference ]], Table1[CRC STOCK], "Not Found")="YES", "CRC Stock", "Boutique Stock"))</f>
        <v/>
      </c>
      <c r="K412" s="137" t="str">
        <f>IF(OpenPendingCases[[#This Row],[Timepiece Reference ]]="", "", IF(_xlfn.XLOOKUP(OpenPendingCases[[#This Row],[Timepiece Reference ]], Table1[[Timepiece Reference ]], Table1[CRC STOCK], "Not Found")="YES", "CRC Stock", "Boutique Stock"))</f>
        <v/>
      </c>
      <c r="L412" s="143"/>
      <c r="M412" s="141"/>
      <c r="N412" s="137"/>
      <c r="O412" s="134"/>
      <c r="P412" s="94" t="str">
        <f>IFERROR(VLOOKUP(TRIM(O412), Collection!$B$2:$D$1001, 2, FALSE), "")</f>
        <v/>
      </c>
      <c r="Q412" s="190" t="str">
        <f>IFERROR(VLOOKUP(TRIM(O412), Collection!$B$2:$D$1001, 3, FALSE), "")</f>
        <v/>
      </c>
      <c r="R412" s="153" t="str">
        <f t="shared" si="44"/>
        <v/>
      </c>
      <c r="S412" s="151"/>
      <c r="T412" s="158"/>
      <c r="U412" s="137"/>
      <c r="V412" s="137"/>
      <c r="W412" s="156" t="str">
        <f t="shared" si="48"/>
        <v/>
      </c>
      <c r="X412" s="157"/>
      <c r="Y412" s="158"/>
      <c r="Z412" s="158"/>
      <c r="AA412" s="137" t="str">
        <f t="shared" ca="1" si="49"/>
        <v/>
      </c>
      <c r="AB412" s="137" t="str">
        <f t="shared" ca="1" si="45"/>
        <v/>
      </c>
      <c r="AC412" s="160" t="str">
        <f t="shared" ca="1" si="46"/>
        <v/>
      </c>
      <c r="AD412" s="159" t="str">
        <f t="shared" ca="1" si="47"/>
        <v/>
      </c>
      <c r="AE412" s="161"/>
      <c r="AF412" s="161"/>
      <c r="AG412" s="161"/>
      <c r="AH412" s="137"/>
      <c r="AI412" s="164" t="str">
        <f t="shared" si="50"/>
        <v/>
      </c>
      <c r="AJ412" s="164" t="str">
        <f>IF(AND(OpenPendingCases[[#This Row],[Sale Status	]]="Open Sale",OpenPendingCases[[#This Row],[Potential Same Month]]="High"),TEXT(OpenPendingCases[[#This Row],[Request Entry Date]], "[$-en-us]mmmm"),"")</f>
        <v/>
      </c>
      <c r="AK412" s="165" t="str">
        <f>IFERROR(VALUE(SUBSTITUTE(OpenPendingCases[[#This Row],[Price]]," AED","")),"")</f>
        <v/>
      </c>
      <c r="AL412" s="165" t="str">
        <f>IFERROR(VALUE(LEFT(OpenPendingCases[[#This Row],[Price]],FIND(" ",OpenPendingCases[[#This Row],[Price]])-1)),"")</f>
        <v/>
      </c>
      <c r="AM412" s="165" t="str">
        <f>IFERROR(VALUE(_xlfn.TEXTBEFORE(OpenPendingCases[[#This Row],[Price]]," AED")),"")</f>
        <v/>
      </c>
      <c r="AN412" s="165"/>
    </row>
    <row r="413" spans="3:40" ht="18" hidden="1" x14ac:dyDescent="0.35">
      <c r="C413" s="134"/>
      <c r="D413" s="137" t="str">
        <f>IF($U413="Open Sale", IF(MAX($D$4:D412)+1=0, "", MAX($D$4:D412)+1), "")</f>
        <v/>
      </c>
      <c r="E413" s="137" t="str">
        <f>IF($U413="Pending Allocation", IF(MAX($E$4:E412)+1=0, "", MAX($E$4:E412)+1), "")</f>
        <v/>
      </c>
      <c r="F413" s="137"/>
      <c r="G413" s="137"/>
      <c r="H413" s="150"/>
      <c r="I413" s="150"/>
      <c r="J413" s="68" t="str">
        <f>IF(OpenPendingCases[[#This Row],[Timepiece Reference ]]="", "", IF(_xlfn.XLOOKUP(OpenPendingCases[[#This Row],[Timepiece Reference ]], Table1[[Timepiece Reference ]], Table1[CRC STOCK], "Not Found")="YES", "CRC Stock", "Boutique Stock"))</f>
        <v/>
      </c>
      <c r="K413" s="137" t="str">
        <f>IF(OpenPendingCases[[#This Row],[Timepiece Reference ]]="", "", IF(_xlfn.XLOOKUP(OpenPendingCases[[#This Row],[Timepiece Reference ]], Table1[[Timepiece Reference ]], Table1[CRC STOCK], "Not Found")="YES", "CRC Stock", "Boutique Stock"))</f>
        <v/>
      </c>
      <c r="L413" s="143"/>
      <c r="M413" s="141"/>
      <c r="N413" s="137"/>
      <c r="O413" s="134"/>
      <c r="P413" s="94" t="str">
        <f>IFERROR(VLOOKUP(TRIM(O413), Collection!$B$2:$D$1001, 2, FALSE), "")</f>
        <v/>
      </c>
      <c r="Q413" s="190" t="str">
        <f>IFERROR(VLOOKUP(TRIM(O413), Collection!$B$2:$D$1001, 3, FALSE), "")</f>
        <v/>
      </c>
      <c r="R413" s="153" t="str">
        <f t="shared" si="44"/>
        <v/>
      </c>
      <c r="S413" s="151"/>
      <c r="T413" s="158"/>
      <c r="U413" s="137"/>
      <c r="V413" s="137"/>
      <c r="W413" s="156" t="str">
        <f t="shared" si="48"/>
        <v/>
      </c>
      <c r="X413" s="157"/>
      <c r="Y413" s="158"/>
      <c r="Z413" s="158"/>
      <c r="AA413" s="137" t="str">
        <f t="shared" ca="1" si="49"/>
        <v/>
      </c>
      <c r="AB413" s="137" t="str">
        <f t="shared" ca="1" si="45"/>
        <v/>
      </c>
      <c r="AC413" s="160" t="str">
        <f t="shared" ca="1" si="46"/>
        <v/>
      </c>
      <c r="AD413" s="159" t="str">
        <f t="shared" ca="1" si="47"/>
        <v/>
      </c>
      <c r="AE413" s="161"/>
      <c r="AF413" s="161"/>
      <c r="AG413" s="161"/>
      <c r="AH413" s="137"/>
      <c r="AI413" s="164" t="str">
        <f t="shared" si="50"/>
        <v/>
      </c>
      <c r="AJ413" s="164" t="str">
        <f>IF(AND(OpenPendingCases[[#This Row],[Sale Status	]]="Open Sale",OpenPendingCases[[#This Row],[Potential Same Month]]="High"),TEXT(OpenPendingCases[[#This Row],[Request Entry Date]], "[$-en-us]mmmm"),"")</f>
        <v/>
      </c>
      <c r="AK413" s="165" t="str">
        <f>IFERROR(VALUE(SUBSTITUTE(OpenPendingCases[[#This Row],[Price]]," AED","")),"")</f>
        <v/>
      </c>
      <c r="AL413" s="165" t="str">
        <f>IFERROR(VALUE(LEFT(OpenPendingCases[[#This Row],[Price]],FIND(" ",OpenPendingCases[[#This Row],[Price]])-1)),"")</f>
        <v/>
      </c>
      <c r="AM413" s="165" t="str">
        <f>IFERROR(VALUE(_xlfn.TEXTBEFORE(OpenPendingCases[[#This Row],[Price]]," AED")),"")</f>
        <v/>
      </c>
      <c r="AN413" s="165"/>
    </row>
    <row r="414" spans="3:40" ht="18" hidden="1" x14ac:dyDescent="0.35">
      <c r="C414" s="134"/>
      <c r="D414" s="137" t="str">
        <f>IF($U414="Open Sale", IF(MAX($D$4:D413)+1=0, "", MAX($D$4:D413)+1), "")</f>
        <v/>
      </c>
      <c r="E414" s="137" t="str">
        <f>IF($U414="Pending Allocation", IF(MAX($E$4:E413)+1=0, "", MAX($E$4:E413)+1), "")</f>
        <v/>
      </c>
      <c r="F414" s="137"/>
      <c r="G414" s="137"/>
      <c r="H414" s="150"/>
      <c r="I414" s="150"/>
      <c r="J414" s="68" t="str">
        <f>IF(OpenPendingCases[[#This Row],[Timepiece Reference ]]="", "", IF(_xlfn.XLOOKUP(OpenPendingCases[[#This Row],[Timepiece Reference ]], Table1[[Timepiece Reference ]], Table1[CRC STOCK], "Not Found")="YES", "CRC Stock", "Boutique Stock"))</f>
        <v/>
      </c>
      <c r="K414" s="137" t="str">
        <f>IF(OpenPendingCases[[#This Row],[Timepiece Reference ]]="", "", IF(_xlfn.XLOOKUP(OpenPendingCases[[#This Row],[Timepiece Reference ]], Table1[[Timepiece Reference ]], Table1[CRC STOCK], "Not Found")="YES", "CRC Stock", "Boutique Stock"))</f>
        <v/>
      </c>
      <c r="L414" s="143"/>
      <c r="M414" s="141"/>
      <c r="N414" s="137"/>
      <c r="O414" s="134"/>
      <c r="P414" s="94" t="str">
        <f>IFERROR(VLOOKUP(TRIM(O414), Collection!$B$2:$D$1001, 2, FALSE), "")</f>
        <v/>
      </c>
      <c r="Q414" s="190" t="str">
        <f>IFERROR(VLOOKUP(TRIM(O414), Collection!$B$2:$D$1001, 3, FALSE), "")</f>
        <v/>
      </c>
      <c r="R414" s="153" t="str">
        <f t="shared" si="44"/>
        <v/>
      </c>
      <c r="S414" s="151"/>
      <c r="T414" s="158"/>
      <c r="U414" s="137"/>
      <c r="V414" s="137"/>
      <c r="W414" s="156" t="str">
        <f t="shared" si="48"/>
        <v/>
      </c>
      <c r="X414" s="157"/>
      <c r="Y414" s="158"/>
      <c r="Z414" s="158"/>
      <c r="AA414" s="137" t="str">
        <f t="shared" ca="1" si="49"/>
        <v/>
      </c>
      <c r="AB414" s="137" t="str">
        <f t="shared" ca="1" si="45"/>
        <v/>
      </c>
      <c r="AC414" s="160" t="str">
        <f t="shared" ca="1" si="46"/>
        <v/>
      </c>
      <c r="AD414" s="159" t="str">
        <f t="shared" ca="1" si="47"/>
        <v/>
      </c>
      <c r="AE414" s="161"/>
      <c r="AF414" s="161"/>
      <c r="AG414" s="161"/>
      <c r="AH414" s="137"/>
      <c r="AI414" s="164" t="str">
        <f t="shared" si="50"/>
        <v/>
      </c>
      <c r="AJ414" s="164" t="str">
        <f>IF(AND(OpenPendingCases[[#This Row],[Sale Status	]]="Open Sale",OpenPendingCases[[#This Row],[Potential Same Month]]="High"),TEXT(OpenPendingCases[[#This Row],[Request Entry Date]], "[$-en-us]mmmm"),"")</f>
        <v/>
      </c>
      <c r="AK414" s="165" t="str">
        <f>IFERROR(VALUE(SUBSTITUTE(OpenPendingCases[[#This Row],[Price]]," AED","")),"")</f>
        <v/>
      </c>
      <c r="AL414" s="165" t="str">
        <f>IFERROR(VALUE(LEFT(OpenPendingCases[[#This Row],[Price]],FIND(" ",OpenPendingCases[[#This Row],[Price]])-1)),"")</f>
        <v/>
      </c>
      <c r="AM414" s="165" t="str">
        <f>IFERROR(VALUE(_xlfn.TEXTBEFORE(OpenPendingCases[[#This Row],[Price]]," AED")),"")</f>
        <v/>
      </c>
      <c r="AN414" s="165"/>
    </row>
    <row r="415" spans="3:40" ht="18" hidden="1" x14ac:dyDescent="0.35">
      <c r="C415" s="134"/>
      <c r="D415" s="137" t="str">
        <f>IF($U415="Open Sale", IF(MAX($D$4:D414)+1=0, "", MAX($D$4:D414)+1), "")</f>
        <v/>
      </c>
      <c r="E415" s="137" t="str">
        <f>IF($U415="Pending Allocation", IF(MAX($E$4:E414)+1=0, "", MAX($E$4:E414)+1), "")</f>
        <v/>
      </c>
      <c r="F415" s="137"/>
      <c r="G415" s="137"/>
      <c r="H415" s="150"/>
      <c r="I415" s="150"/>
      <c r="J415" s="68" t="str">
        <f>IF(OpenPendingCases[[#This Row],[Timepiece Reference ]]="", "", IF(_xlfn.XLOOKUP(OpenPendingCases[[#This Row],[Timepiece Reference ]], Table1[[Timepiece Reference ]], Table1[CRC STOCK], "Not Found")="YES", "CRC Stock", "Boutique Stock"))</f>
        <v/>
      </c>
      <c r="K415" s="137" t="str">
        <f>IF(OpenPendingCases[[#This Row],[Timepiece Reference ]]="", "", IF(_xlfn.XLOOKUP(OpenPendingCases[[#This Row],[Timepiece Reference ]], Table1[[Timepiece Reference ]], Table1[CRC STOCK], "Not Found")="YES", "CRC Stock", "Boutique Stock"))</f>
        <v/>
      </c>
      <c r="L415" s="143"/>
      <c r="M415" s="141"/>
      <c r="N415" s="137"/>
      <c r="O415" s="134"/>
      <c r="P415" s="94" t="str">
        <f>IFERROR(VLOOKUP(TRIM(O415), Collection!$B$2:$D$1001, 2, FALSE), "")</f>
        <v/>
      </c>
      <c r="Q415" s="190" t="str">
        <f>IFERROR(VLOOKUP(TRIM(O415), Collection!$B$2:$D$1001, 3, FALSE), "")</f>
        <v/>
      </c>
      <c r="R415" s="153" t="str">
        <f t="shared" si="44"/>
        <v/>
      </c>
      <c r="S415" s="151"/>
      <c r="T415" s="158"/>
      <c r="U415" s="137"/>
      <c r="V415" s="137"/>
      <c r="W415" s="156" t="str">
        <f t="shared" si="48"/>
        <v/>
      </c>
      <c r="X415" s="157"/>
      <c r="Y415" s="158"/>
      <c r="Z415" s="158"/>
      <c r="AA415" s="137" t="str">
        <f t="shared" ca="1" si="49"/>
        <v/>
      </c>
      <c r="AB415" s="137" t="str">
        <f t="shared" ca="1" si="45"/>
        <v/>
      </c>
      <c r="AC415" s="160" t="str">
        <f t="shared" ca="1" si="46"/>
        <v/>
      </c>
      <c r="AD415" s="159" t="str">
        <f t="shared" ca="1" si="47"/>
        <v/>
      </c>
      <c r="AE415" s="161"/>
      <c r="AF415" s="161"/>
      <c r="AG415" s="161"/>
      <c r="AH415" s="137"/>
      <c r="AI415" s="164" t="str">
        <f t="shared" si="50"/>
        <v/>
      </c>
      <c r="AJ415" s="164" t="str">
        <f>IF(AND(OpenPendingCases[[#This Row],[Sale Status	]]="Open Sale",OpenPendingCases[[#This Row],[Potential Same Month]]="High"),TEXT(OpenPendingCases[[#This Row],[Request Entry Date]], "[$-en-us]mmmm"),"")</f>
        <v/>
      </c>
      <c r="AK415" s="165" t="str">
        <f>IFERROR(VALUE(SUBSTITUTE(OpenPendingCases[[#This Row],[Price]]," AED","")),"")</f>
        <v/>
      </c>
      <c r="AL415" s="165" t="str">
        <f>IFERROR(VALUE(LEFT(OpenPendingCases[[#This Row],[Price]],FIND(" ",OpenPendingCases[[#This Row],[Price]])-1)),"")</f>
        <v/>
      </c>
      <c r="AM415" s="165" t="str">
        <f>IFERROR(VALUE(_xlfn.TEXTBEFORE(OpenPendingCases[[#This Row],[Price]]," AED")),"")</f>
        <v/>
      </c>
      <c r="AN415" s="165"/>
    </row>
    <row r="416" spans="3:40" ht="18" hidden="1" x14ac:dyDescent="0.35">
      <c r="C416" s="134"/>
      <c r="D416" s="137" t="str">
        <f>IF($U416="Open Sale", IF(MAX($D$4:D415)+1=0, "", MAX($D$4:D415)+1), "")</f>
        <v/>
      </c>
      <c r="E416" s="137" t="str">
        <f>IF($U416="Pending Allocation", IF(MAX($E$4:E415)+1=0, "", MAX($E$4:E415)+1), "")</f>
        <v/>
      </c>
      <c r="F416" s="137"/>
      <c r="G416" s="137"/>
      <c r="H416" s="150"/>
      <c r="I416" s="150"/>
      <c r="J416" s="68" t="str">
        <f>IF(OpenPendingCases[[#This Row],[Timepiece Reference ]]="", "", IF(_xlfn.XLOOKUP(OpenPendingCases[[#This Row],[Timepiece Reference ]], Table1[[Timepiece Reference ]], Table1[CRC STOCK], "Not Found")="YES", "CRC Stock", "Boutique Stock"))</f>
        <v/>
      </c>
      <c r="K416" s="137" t="str">
        <f>IF(OpenPendingCases[[#This Row],[Timepiece Reference ]]="", "", IF(_xlfn.XLOOKUP(OpenPendingCases[[#This Row],[Timepiece Reference ]], Table1[[Timepiece Reference ]], Table1[CRC STOCK], "Not Found")="YES", "CRC Stock", "Boutique Stock"))</f>
        <v/>
      </c>
      <c r="L416" s="143"/>
      <c r="M416" s="141"/>
      <c r="N416" s="137"/>
      <c r="O416" s="134"/>
      <c r="P416" s="94" t="str">
        <f>IFERROR(VLOOKUP(TRIM(O416), Collection!$B$2:$D$1001, 2, FALSE), "")</f>
        <v/>
      </c>
      <c r="Q416" s="190" t="str">
        <f>IFERROR(VLOOKUP(TRIM(O416), Collection!$B$2:$D$1001, 3, FALSE), "")</f>
        <v/>
      </c>
      <c r="R416" s="153" t="str">
        <f t="shared" si="44"/>
        <v/>
      </c>
      <c r="S416" s="151"/>
      <c r="T416" s="158"/>
      <c r="U416" s="137"/>
      <c r="V416" s="137"/>
      <c r="W416" s="156" t="str">
        <f t="shared" si="48"/>
        <v/>
      </c>
      <c r="X416" s="157"/>
      <c r="Y416" s="158"/>
      <c r="Z416" s="158"/>
      <c r="AA416" s="137" t="str">
        <f t="shared" ca="1" si="49"/>
        <v/>
      </c>
      <c r="AB416" s="137" t="str">
        <f t="shared" ca="1" si="45"/>
        <v/>
      </c>
      <c r="AC416" s="160" t="str">
        <f t="shared" ca="1" si="46"/>
        <v/>
      </c>
      <c r="AD416" s="159" t="str">
        <f t="shared" ca="1" si="47"/>
        <v/>
      </c>
      <c r="AE416" s="161"/>
      <c r="AF416" s="161"/>
      <c r="AG416" s="161"/>
      <c r="AH416" s="137"/>
      <c r="AI416" s="164" t="str">
        <f t="shared" si="50"/>
        <v/>
      </c>
      <c r="AJ416" s="164" t="str">
        <f>IF(AND(OpenPendingCases[[#This Row],[Sale Status	]]="Open Sale",OpenPendingCases[[#This Row],[Potential Same Month]]="High"),TEXT(OpenPendingCases[[#This Row],[Request Entry Date]], "[$-en-us]mmmm"),"")</f>
        <v/>
      </c>
      <c r="AK416" s="165" t="str">
        <f>IFERROR(VALUE(SUBSTITUTE(OpenPendingCases[[#This Row],[Price]]," AED","")),"")</f>
        <v/>
      </c>
      <c r="AL416" s="165" t="str">
        <f>IFERROR(VALUE(LEFT(OpenPendingCases[[#This Row],[Price]],FIND(" ",OpenPendingCases[[#This Row],[Price]])-1)),"")</f>
        <v/>
      </c>
      <c r="AM416" s="165" t="str">
        <f>IFERROR(VALUE(_xlfn.TEXTBEFORE(OpenPendingCases[[#This Row],[Price]]," AED")),"")</f>
        <v/>
      </c>
      <c r="AN416" s="165"/>
    </row>
    <row r="417" spans="3:40" ht="18" hidden="1" x14ac:dyDescent="0.35">
      <c r="C417" s="134"/>
      <c r="D417" s="137" t="str">
        <f>IF($U417="Open Sale", IF(MAX($D$4:D416)+1=0, "", MAX($D$4:D416)+1), "")</f>
        <v/>
      </c>
      <c r="E417" s="137" t="str">
        <f>IF($U417="Pending Allocation", IF(MAX($E$4:E416)+1=0, "", MAX($E$4:E416)+1), "")</f>
        <v/>
      </c>
      <c r="F417" s="137"/>
      <c r="G417" s="137"/>
      <c r="H417" s="150"/>
      <c r="I417" s="150"/>
      <c r="J417" s="68" t="str">
        <f>IF(OpenPendingCases[[#This Row],[Timepiece Reference ]]="", "", IF(_xlfn.XLOOKUP(OpenPendingCases[[#This Row],[Timepiece Reference ]], Table1[[Timepiece Reference ]], Table1[CRC STOCK], "Not Found")="YES", "CRC Stock", "Boutique Stock"))</f>
        <v/>
      </c>
      <c r="K417" s="137" t="str">
        <f>IF(OpenPendingCases[[#This Row],[Timepiece Reference ]]="", "", IF(_xlfn.XLOOKUP(OpenPendingCases[[#This Row],[Timepiece Reference ]], Table1[[Timepiece Reference ]], Table1[CRC STOCK], "Not Found")="YES", "CRC Stock", "Boutique Stock"))</f>
        <v/>
      </c>
      <c r="L417" s="143"/>
      <c r="M417" s="141"/>
      <c r="N417" s="137"/>
      <c r="O417" s="134"/>
      <c r="P417" s="94" t="str">
        <f>IFERROR(VLOOKUP(TRIM(O417), Collection!$B$2:$D$1001, 2, FALSE), "")</f>
        <v/>
      </c>
      <c r="Q417" s="190" t="str">
        <f>IFERROR(VLOOKUP(TRIM(O417), Collection!$B$2:$D$1001, 3, FALSE), "")</f>
        <v/>
      </c>
      <c r="R417" s="153" t="str">
        <f t="shared" si="44"/>
        <v/>
      </c>
      <c r="S417" s="151"/>
      <c r="T417" s="158"/>
      <c r="U417" s="137"/>
      <c r="V417" s="137"/>
      <c r="W417" s="156" t="str">
        <f t="shared" si="48"/>
        <v/>
      </c>
      <c r="X417" s="157"/>
      <c r="Y417" s="158"/>
      <c r="Z417" s="158"/>
      <c r="AA417" s="137" t="str">
        <f t="shared" ca="1" si="49"/>
        <v/>
      </c>
      <c r="AB417" s="137" t="str">
        <f t="shared" ca="1" si="45"/>
        <v/>
      </c>
      <c r="AC417" s="160" t="str">
        <f t="shared" ca="1" si="46"/>
        <v/>
      </c>
      <c r="AD417" s="159" t="str">
        <f t="shared" ca="1" si="47"/>
        <v/>
      </c>
      <c r="AE417" s="161"/>
      <c r="AF417" s="161"/>
      <c r="AG417" s="161"/>
      <c r="AH417" s="137"/>
      <c r="AI417" s="164" t="str">
        <f t="shared" si="50"/>
        <v/>
      </c>
      <c r="AJ417" s="164" t="str">
        <f>IF(AND(OpenPendingCases[[#This Row],[Sale Status	]]="Open Sale",OpenPendingCases[[#This Row],[Potential Same Month]]="High"),TEXT(OpenPendingCases[[#This Row],[Request Entry Date]], "[$-en-us]mmmm"),"")</f>
        <v/>
      </c>
      <c r="AK417" s="165" t="str">
        <f>IFERROR(VALUE(SUBSTITUTE(OpenPendingCases[[#This Row],[Price]]," AED","")),"")</f>
        <v/>
      </c>
      <c r="AL417" s="165" t="str">
        <f>IFERROR(VALUE(LEFT(OpenPendingCases[[#This Row],[Price]],FIND(" ",OpenPendingCases[[#This Row],[Price]])-1)),"")</f>
        <v/>
      </c>
      <c r="AM417" s="165" t="str">
        <f>IFERROR(VALUE(_xlfn.TEXTBEFORE(OpenPendingCases[[#This Row],[Price]]," AED")),"")</f>
        <v/>
      </c>
      <c r="AN417" s="165"/>
    </row>
    <row r="418" spans="3:40" ht="18" hidden="1" x14ac:dyDescent="0.35">
      <c r="C418" s="134"/>
      <c r="D418" s="137" t="str">
        <f>IF($U418="Open Sale", IF(MAX($D$4:D417)+1=0, "", MAX($D$4:D417)+1), "")</f>
        <v/>
      </c>
      <c r="E418" s="137" t="str">
        <f>IF($U418="Pending Allocation", IF(MAX($E$4:E417)+1=0, "", MAX($E$4:E417)+1), "")</f>
        <v/>
      </c>
      <c r="F418" s="137"/>
      <c r="G418" s="137"/>
      <c r="H418" s="150"/>
      <c r="I418" s="150"/>
      <c r="J418" s="68" t="str">
        <f>IF(OpenPendingCases[[#This Row],[Timepiece Reference ]]="", "", IF(_xlfn.XLOOKUP(OpenPendingCases[[#This Row],[Timepiece Reference ]], Table1[[Timepiece Reference ]], Table1[CRC STOCK], "Not Found")="YES", "CRC Stock", "Boutique Stock"))</f>
        <v/>
      </c>
      <c r="K418" s="137" t="str">
        <f>IF(OpenPendingCases[[#This Row],[Timepiece Reference ]]="", "", IF(_xlfn.XLOOKUP(OpenPendingCases[[#This Row],[Timepiece Reference ]], Table1[[Timepiece Reference ]], Table1[CRC STOCK], "Not Found")="YES", "CRC Stock", "Boutique Stock"))</f>
        <v/>
      </c>
      <c r="L418" s="143"/>
      <c r="M418" s="141"/>
      <c r="N418" s="137"/>
      <c r="O418" s="134"/>
      <c r="P418" s="94" t="str">
        <f>IFERROR(VLOOKUP(TRIM(O418), Collection!$B$2:$D$1001, 2, FALSE), "")</f>
        <v/>
      </c>
      <c r="Q418" s="190" t="str">
        <f>IFERROR(VLOOKUP(TRIM(O418), Collection!$B$2:$D$1001, 3, FALSE), "")</f>
        <v/>
      </c>
      <c r="R418" s="153" t="str">
        <f t="shared" si="44"/>
        <v/>
      </c>
      <c r="S418" s="151"/>
      <c r="T418" s="158"/>
      <c r="U418" s="137"/>
      <c r="V418" s="137"/>
      <c r="W418" s="156" t="str">
        <f t="shared" si="48"/>
        <v/>
      </c>
      <c r="X418" s="157"/>
      <c r="Y418" s="158"/>
      <c r="Z418" s="158"/>
      <c r="AA418" s="137" t="str">
        <f t="shared" ca="1" si="49"/>
        <v/>
      </c>
      <c r="AB418" s="137" t="str">
        <f t="shared" ca="1" si="45"/>
        <v/>
      </c>
      <c r="AC418" s="160" t="str">
        <f t="shared" ca="1" si="46"/>
        <v/>
      </c>
      <c r="AD418" s="159" t="str">
        <f t="shared" ca="1" si="47"/>
        <v/>
      </c>
      <c r="AE418" s="161"/>
      <c r="AF418" s="161"/>
      <c r="AG418" s="161"/>
      <c r="AH418" s="137"/>
      <c r="AI418" s="164" t="str">
        <f t="shared" si="50"/>
        <v/>
      </c>
      <c r="AJ418" s="164" t="str">
        <f>IF(AND(OpenPendingCases[[#This Row],[Sale Status	]]="Open Sale",OpenPendingCases[[#This Row],[Potential Same Month]]="High"),TEXT(OpenPendingCases[[#This Row],[Request Entry Date]], "[$-en-us]mmmm"),"")</f>
        <v/>
      </c>
      <c r="AK418" s="165" t="str">
        <f>IFERROR(VALUE(SUBSTITUTE(OpenPendingCases[[#This Row],[Price]]," AED","")),"")</f>
        <v/>
      </c>
      <c r="AL418" s="165" t="str">
        <f>IFERROR(VALUE(LEFT(OpenPendingCases[[#This Row],[Price]],FIND(" ",OpenPendingCases[[#This Row],[Price]])-1)),"")</f>
        <v/>
      </c>
      <c r="AM418" s="165" t="str">
        <f>IFERROR(VALUE(_xlfn.TEXTBEFORE(OpenPendingCases[[#This Row],[Price]]," AED")),"")</f>
        <v/>
      </c>
      <c r="AN418" s="165"/>
    </row>
    <row r="419" spans="3:40" ht="18" hidden="1" x14ac:dyDescent="0.35">
      <c r="C419" s="134"/>
      <c r="D419" s="137" t="str">
        <f>IF($U419="Open Sale", IF(MAX($D$4:D418)+1=0, "", MAX($D$4:D418)+1), "")</f>
        <v/>
      </c>
      <c r="E419" s="137" t="str">
        <f>IF($U419="Pending Allocation", IF(MAX($E$4:E418)+1=0, "", MAX($E$4:E418)+1), "")</f>
        <v/>
      </c>
      <c r="F419" s="137"/>
      <c r="G419" s="137"/>
      <c r="H419" s="150"/>
      <c r="I419" s="150"/>
      <c r="J419" s="68" t="str">
        <f>IF(OpenPendingCases[[#This Row],[Timepiece Reference ]]="", "", IF(_xlfn.XLOOKUP(OpenPendingCases[[#This Row],[Timepiece Reference ]], Table1[[Timepiece Reference ]], Table1[CRC STOCK], "Not Found")="YES", "CRC Stock", "Boutique Stock"))</f>
        <v/>
      </c>
      <c r="K419" s="137" t="str">
        <f>IF(OpenPendingCases[[#This Row],[Timepiece Reference ]]="", "", IF(_xlfn.XLOOKUP(OpenPendingCases[[#This Row],[Timepiece Reference ]], Table1[[Timepiece Reference ]], Table1[CRC STOCK], "Not Found")="YES", "CRC Stock", "Boutique Stock"))</f>
        <v/>
      </c>
      <c r="L419" s="143"/>
      <c r="M419" s="141"/>
      <c r="N419" s="137"/>
      <c r="O419" s="134"/>
      <c r="P419" s="94" t="str">
        <f>IFERROR(VLOOKUP(TRIM(O419), Collection!$B$2:$D$1001, 2, FALSE), "")</f>
        <v/>
      </c>
      <c r="Q419" s="190" t="str">
        <f>IFERROR(VLOOKUP(TRIM(O419), Collection!$B$2:$D$1001, 3, FALSE), "")</f>
        <v/>
      </c>
      <c r="R419" s="153" t="str">
        <f t="shared" si="44"/>
        <v/>
      </c>
      <c r="S419" s="151"/>
      <c r="T419" s="158"/>
      <c r="U419" s="137"/>
      <c r="V419" s="137"/>
      <c r="W419" s="156" t="str">
        <f t="shared" si="48"/>
        <v/>
      </c>
      <c r="X419" s="157"/>
      <c r="Y419" s="158"/>
      <c r="Z419" s="158"/>
      <c r="AA419" s="137" t="str">
        <f t="shared" ca="1" si="49"/>
        <v/>
      </c>
      <c r="AB419" s="137" t="str">
        <f t="shared" ca="1" si="45"/>
        <v/>
      </c>
      <c r="AC419" s="160" t="str">
        <f t="shared" ca="1" si="46"/>
        <v/>
      </c>
      <c r="AD419" s="159" t="str">
        <f t="shared" ca="1" si="47"/>
        <v/>
      </c>
      <c r="AE419" s="161"/>
      <c r="AF419" s="161"/>
      <c r="AG419" s="161"/>
      <c r="AH419" s="137"/>
      <c r="AI419" s="164" t="str">
        <f t="shared" si="50"/>
        <v/>
      </c>
      <c r="AJ419" s="164" t="str">
        <f>IF(AND(OpenPendingCases[[#This Row],[Sale Status	]]="Open Sale",OpenPendingCases[[#This Row],[Potential Same Month]]="High"),TEXT(OpenPendingCases[[#This Row],[Request Entry Date]], "[$-en-us]mmmm"),"")</f>
        <v/>
      </c>
      <c r="AK419" s="165" t="str">
        <f>IFERROR(VALUE(SUBSTITUTE(OpenPendingCases[[#This Row],[Price]]," AED","")),"")</f>
        <v/>
      </c>
      <c r="AL419" s="165" t="str">
        <f>IFERROR(VALUE(LEFT(OpenPendingCases[[#This Row],[Price]],FIND(" ",OpenPendingCases[[#This Row],[Price]])-1)),"")</f>
        <v/>
      </c>
      <c r="AM419" s="165" t="str">
        <f>IFERROR(VALUE(_xlfn.TEXTBEFORE(OpenPendingCases[[#This Row],[Price]]," AED")),"")</f>
        <v/>
      </c>
      <c r="AN419" s="165"/>
    </row>
    <row r="420" spans="3:40" ht="18" hidden="1" x14ac:dyDescent="0.35">
      <c r="C420" s="134"/>
      <c r="D420" s="137" t="str">
        <f>IF($U420="Open Sale", IF(MAX($D$4:D419)+1=0, "", MAX($D$4:D419)+1), "")</f>
        <v/>
      </c>
      <c r="E420" s="137" t="str">
        <f>IF($U420="Pending Allocation", IF(MAX($E$4:E419)+1=0, "", MAX($E$4:E419)+1), "")</f>
        <v/>
      </c>
      <c r="F420" s="137"/>
      <c r="G420" s="137"/>
      <c r="H420" s="150"/>
      <c r="I420" s="150"/>
      <c r="J420" s="68" t="str">
        <f>IF(OpenPendingCases[[#This Row],[Timepiece Reference ]]="", "", IF(_xlfn.XLOOKUP(OpenPendingCases[[#This Row],[Timepiece Reference ]], Table1[[Timepiece Reference ]], Table1[CRC STOCK], "Not Found")="YES", "CRC Stock", "Boutique Stock"))</f>
        <v/>
      </c>
      <c r="K420" s="137" t="str">
        <f>IF(OpenPendingCases[[#This Row],[Timepiece Reference ]]="", "", IF(_xlfn.XLOOKUP(OpenPendingCases[[#This Row],[Timepiece Reference ]], Table1[[Timepiece Reference ]], Table1[CRC STOCK], "Not Found")="YES", "CRC Stock", "Boutique Stock"))</f>
        <v/>
      </c>
      <c r="L420" s="143"/>
      <c r="M420" s="141"/>
      <c r="N420" s="137"/>
      <c r="O420" s="134"/>
      <c r="P420" s="94" t="str">
        <f>IFERROR(VLOOKUP(TRIM(O420), Collection!$B$2:$D$1001, 2, FALSE), "")</f>
        <v/>
      </c>
      <c r="Q420" s="190" t="str">
        <f>IFERROR(VLOOKUP(TRIM(O420), Collection!$B$2:$D$1001, 3, FALSE), "")</f>
        <v/>
      </c>
      <c r="R420" s="153" t="str">
        <f t="shared" si="44"/>
        <v/>
      </c>
      <c r="S420" s="151"/>
      <c r="T420" s="158"/>
      <c r="U420" s="137"/>
      <c r="V420" s="137"/>
      <c r="W420" s="156" t="str">
        <f t="shared" si="48"/>
        <v/>
      </c>
      <c r="X420" s="157"/>
      <c r="Y420" s="158"/>
      <c r="Z420" s="158"/>
      <c r="AA420" s="137" t="str">
        <f t="shared" ca="1" si="49"/>
        <v/>
      </c>
      <c r="AB420" s="137" t="str">
        <f t="shared" ca="1" si="45"/>
        <v/>
      </c>
      <c r="AC420" s="160" t="str">
        <f t="shared" ca="1" si="46"/>
        <v/>
      </c>
      <c r="AD420" s="159" t="str">
        <f t="shared" ca="1" si="47"/>
        <v/>
      </c>
      <c r="AE420" s="161"/>
      <c r="AF420" s="161"/>
      <c r="AG420" s="161"/>
      <c r="AH420" s="137"/>
      <c r="AI420" s="164" t="str">
        <f t="shared" si="50"/>
        <v/>
      </c>
      <c r="AJ420" s="164" t="str">
        <f>IF(AND(OpenPendingCases[[#This Row],[Sale Status	]]="Open Sale",OpenPendingCases[[#This Row],[Potential Same Month]]="High"),TEXT(OpenPendingCases[[#This Row],[Request Entry Date]], "[$-en-us]mmmm"),"")</f>
        <v/>
      </c>
      <c r="AK420" s="165" t="str">
        <f>IFERROR(VALUE(SUBSTITUTE(OpenPendingCases[[#This Row],[Price]]," AED","")),"")</f>
        <v/>
      </c>
      <c r="AL420" s="165" t="str">
        <f>IFERROR(VALUE(LEFT(OpenPendingCases[[#This Row],[Price]],FIND(" ",OpenPendingCases[[#This Row],[Price]])-1)),"")</f>
        <v/>
      </c>
      <c r="AM420" s="165" t="str">
        <f>IFERROR(VALUE(_xlfn.TEXTBEFORE(OpenPendingCases[[#This Row],[Price]]," AED")),"")</f>
        <v/>
      </c>
      <c r="AN420" s="165"/>
    </row>
    <row r="421" spans="3:40" ht="18" hidden="1" x14ac:dyDescent="0.35">
      <c r="C421" s="134"/>
      <c r="D421" s="137" t="str">
        <f>IF($U421="Open Sale", IF(MAX($D$4:D420)+1=0, "", MAX($D$4:D420)+1), "")</f>
        <v/>
      </c>
      <c r="E421" s="137" t="str">
        <f>IF($U421="Pending Allocation", IF(MAX($E$4:E420)+1=0, "", MAX($E$4:E420)+1), "")</f>
        <v/>
      </c>
      <c r="F421" s="137"/>
      <c r="G421" s="137"/>
      <c r="H421" s="150"/>
      <c r="I421" s="150"/>
      <c r="J421" s="68" t="str">
        <f>IF(OpenPendingCases[[#This Row],[Timepiece Reference ]]="", "", IF(_xlfn.XLOOKUP(OpenPendingCases[[#This Row],[Timepiece Reference ]], Table1[[Timepiece Reference ]], Table1[CRC STOCK], "Not Found")="YES", "CRC Stock", "Boutique Stock"))</f>
        <v/>
      </c>
      <c r="K421" s="137" t="str">
        <f>IF(OpenPendingCases[[#This Row],[Timepiece Reference ]]="", "", IF(_xlfn.XLOOKUP(OpenPendingCases[[#This Row],[Timepiece Reference ]], Table1[[Timepiece Reference ]], Table1[CRC STOCK], "Not Found")="YES", "CRC Stock", "Boutique Stock"))</f>
        <v/>
      </c>
      <c r="L421" s="143"/>
      <c r="M421" s="141"/>
      <c r="N421" s="137"/>
      <c r="O421" s="134"/>
      <c r="P421" s="94" t="str">
        <f>IFERROR(VLOOKUP(TRIM(O421), Collection!$B$2:$D$1001, 2, FALSE), "")</f>
        <v/>
      </c>
      <c r="Q421" s="190" t="str">
        <f>IFERROR(VLOOKUP(TRIM(O421), Collection!$B$2:$D$1001, 3, FALSE), "")</f>
        <v/>
      </c>
      <c r="R421" s="153" t="str">
        <f t="shared" si="44"/>
        <v/>
      </c>
      <c r="S421" s="151"/>
      <c r="T421" s="158"/>
      <c r="U421" s="137"/>
      <c r="V421" s="137"/>
      <c r="W421" s="156" t="str">
        <f t="shared" si="48"/>
        <v/>
      </c>
      <c r="X421" s="157"/>
      <c r="Y421" s="158"/>
      <c r="Z421" s="158"/>
      <c r="AA421" s="137" t="str">
        <f t="shared" ca="1" si="49"/>
        <v/>
      </c>
      <c r="AB421" s="137" t="str">
        <f t="shared" ca="1" si="45"/>
        <v/>
      </c>
      <c r="AC421" s="160" t="str">
        <f t="shared" ca="1" si="46"/>
        <v/>
      </c>
      <c r="AD421" s="159" t="str">
        <f t="shared" ca="1" si="47"/>
        <v/>
      </c>
      <c r="AE421" s="161"/>
      <c r="AF421" s="161"/>
      <c r="AG421" s="161"/>
      <c r="AH421" s="137"/>
      <c r="AI421" s="164" t="str">
        <f t="shared" si="50"/>
        <v/>
      </c>
      <c r="AJ421" s="164" t="str">
        <f>IF(AND(OpenPendingCases[[#This Row],[Sale Status	]]="Open Sale",OpenPendingCases[[#This Row],[Potential Same Month]]="High"),TEXT(OpenPendingCases[[#This Row],[Request Entry Date]], "[$-en-us]mmmm"),"")</f>
        <v/>
      </c>
      <c r="AK421" s="165" t="str">
        <f>IFERROR(VALUE(SUBSTITUTE(OpenPendingCases[[#This Row],[Price]]," AED","")),"")</f>
        <v/>
      </c>
      <c r="AL421" s="165" t="str">
        <f>IFERROR(VALUE(LEFT(OpenPendingCases[[#This Row],[Price]],FIND(" ",OpenPendingCases[[#This Row],[Price]])-1)),"")</f>
        <v/>
      </c>
      <c r="AM421" s="165" t="str">
        <f>IFERROR(VALUE(_xlfn.TEXTBEFORE(OpenPendingCases[[#This Row],[Price]]," AED")),"")</f>
        <v/>
      </c>
      <c r="AN421" s="165"/>
    </row>
    <row r="422" spans="3:40" ht="18" hidden="1" x14ac:dyDescent="0.35">
      <c r="C422" s="134"/>
      <c r="D422" s="137" t="str">
        <f>IF($U422="Open Sale", IF(MAX($D$4:D421)+1=0, "", MAX($D$4:D421)+1), "")</f>
        <v/>
      </c>
      <c r="E422" s="137" t="str">
        <f>IF($U422="Pending Allocation", IF(MAX($E$4:E421)+1=0, "", MAX($E$4:E421)+1), "")</f>
        <v/>
      </c>
      <c r="F422" s="137"/>
      <c r="G422" s="137"/>
      <c r="H422" s="150"/>
      <c r="I422" s="150"/>
      <c r="J422" s="68" t="str">
        <f>IF(OpenPendingCases[[#This Row],[Timepiece Reference ]]="", "", IF(_xlfn.XLOOKUP(OpenPendingCases[[#This Row],[Timepiece Reference ]], Table1[[Timepiece Reference ]], Table1[CRC STOCK], "Not Found")="YES", "CRC Stock", "Boutique Stock"))</f>
        <v/>
      </c>
      <c r="K422" s="137" t="str">
        <f>IF(OpenPendingCases[[#This Row],[Timepiece Reference ]]="", "", IF(_xlfn.XLOOKUP(OpenPendingCases[[#This Row],[Timepiece Reference ]], Table1[[Timepiece Reference ]], Table1[CRC STOCK], "Not Found")="YES", "CRC Stock", "Boutique Stock"))</f>
        <v/>
      </c>
      <c r="L422" s="143"/>
      <c r="M422" s="141"/>
      <c r="N422" s="137"/>
      <c r="O422" s="134"/>
      <c r="P422" s="94" t="str">
        <f>IFERROR(VLOOKUP(TRIM(O422), Collection!$B$2:$D$1001, 2, FALSE), "")</f>
        <v/>
      </c>
      <c r="Q422" s="190" t="str">
        <f>IFERROR(VLOOKUP(TRIM(O422), Collection!$B$2:$D$1001, 3, FALSE), "")</f>
        <v/>
      </c>
      <c r="R422" s="153" t="str">
        <f t="shared" si="44"/>
        <v/>
      </c>
      <c r="S422" s="151"/>
      <c r="T422" s="158"/>
      <c r="U422" s="137"/>
      <c r="V422" s="137"/>
      <c r="W422" s="156" t="str">
        <f t="shared" si="48"/>
        <v/>
      </c>
      <c r="X422" s="157"/>
      <c r="Y422" s="158"/>
      <c r="Z422" s="158"/>
      <c r="AA422" s="137" t="str">
        <f t="shared" ca="1" si="49"/>
        <v/>
      </c>
      <c r="AB422" s="137" t="str">
        <f t="shared" ca="1" si="45"/>
        <v/>
      </c>
      <c r="AC422" s="160" t="str">
        <f t="shared" ca="1" si="46"/>
        <v/>
      </c>
      <c r="AD422" s="159" t="str">
        <f t="shared" ca="1" si="47"/>
        <v/>
      </c>
      <c r="AE422" s="161"/>
      <c r="AF422" s="161"/>
      <c r="AG422" s="161"/>
      <c r="AH422" s="137"/>
      <c r="AI422" s="164" t="str">
        <f t="shared" si="50"/>
        <v/>
      </c>
      <c r="AJ422" s="164" t="str">
        <f>IF(AND(OpenPendingCases[[#This Row],[Sale Status	]]="Open Sale",OpenPendingCases[[#This Row],[Potential Same Month]]="High"),TEXT(OpenPendingCases[[#This Row],[Request Entry Date]], "[$-en-us]mmmm"),"")</f>
        <v/>
      </c>
      <c r="AK422" s="165" t="str">
        <f>IFERROR(VALUE(SUBSTITUTE(OpenPendingCases[[#This Row],[Price]]," AED","")),"")</f>
        <v/>
      </c>
      <c r="AL422" s="165" t="str">
        <f>IFERROR(VALUE(LEFT(OpenPendingCases[[#This Row],[Price]],FIND(" ",OpenPendingCases[[#This Row],[Price]])-1)),"")</f>
        <v/>
      </c>
      <c r="AM422" s="165" t="str">
        <f>IFERROR(VALUE(_xlfn.TEXTBEFORE(OpenPendingCases[[#This Row],[Price]]," AED")),"")</f>
        <v/>
      </c>
      <c r="AN422" s="165"/>
    </row>
    <row r="423" spans="3:40" ht="18" hidden="1" x14ac:dyDescent="0.35">
      <c r="C423" s="134"/>
      <c r="D423" s="137" t="str">
        <f>IF($U423="Open Sale", IF(MAX($D$4:D422)+1=0, "", MAX($D$4:D422)+1), "")</f>
        <v/>
      </c>
      <c r="E423" s="137" t="str">
        <f>IF($U423="Pending Allocation", IF(MAX($E$4:E422)+1=0, "", MAX($E$4:E422)+1), "")</f>
        <v/>
      </c>
      <c r="F423" s="137"/>
      <c r="G423" s="137"/>
      <c r="H423" s="150"/>
      <c r="I423" s="150"/>
      <c r="J423" s="68" t="str">
        <f>IF(OpenPendingCases[[#This Row],[Timepiece Reference ]]="", "", IF(_xlfn.XLOOKUP(OpenPendingCases[[#This Row],[Timepiece Reference ]], Table1[[Timepiece Reference ]], Table1[CRC STOCK], "Not Found")="YES", "CRC Stock", "Boutique Stock"))</f>
        <v/>
      </c>
      <c r="K423" s="137" t="str">
        <f>IF(OpenPendingCases[[#This Row],[Timepiece Reference ]]="", "", IF(_xlfn.XLOOKUP(OpenPendingCases[[#This Row],[Timepiece Reference ]], Table1[[Timepiece Reference ]], Table1[CRC STOCK], "Not Found")="YES", "CRC Stock", "Boutique Stock"))</f>
        <v/>
      </c>
      <c r="L423" s="143"/>
      <c r="M423" s="141"/>
      <c r="N423" s="137"/>
      <c r="O423" s="134"/>
      <c r="P423" s="94" t="str">
        <f>IFERROR(VLOOKUP(TRIM(O423), Collection!$B$2:$D$1001, 2, FALSE), "")</f>
        <v/>
      </c>
      <c r="Q423" s="190" t="str">
        <f>IFERROR(VLOOKUP(TRIM(O423), Collection!$B$2:$D$1001, 3, FALSE), "")</f>
        <v/>
      </c>
      <c r="R423" s="153" t="str">
        <f t="shared" si="44"/>
        <v/>
      </c>
      <c r="S423" s="151"/>
      <c r="T423" s="158"/>
      <c r="U423" s="137"/>
      <c r="V423" s="137"/>
      <c r="W423" s="156" t="str">
        <f t="shared" si="48"/>
        <v/>
      </c>
      <c r="X423" s="157"/>
      <c r="Y423" s="158"/>
      <c r="Z423" s="158"/>
      <c r="AA423" s="137" t="str">
        <f t="shared" ca="1" si="49"/>
        <v/>
      </c>
      <c r="AB423" s="137" t="str">
        <f t="shared" ca="1" si="45"/>
        <v/>
      </c>
      <c r="AC423" s="160" t="str">
        <f t="shared" ca="1" si="46"/>
        <v/>
      </c>
      <c r="AD423" s="159" t="str">
        <f t="shared" ca="1" si="47"/>
        <v/>
      </c>
      <c r="AE423" s="161"/>
      <c r="AF423" s="161"/>
      <c r="AG423" s="161"/>
      <c r="AH423" s="137"/>
      <c r="AI423" s="164" t="str">
        <f t="shared" si="50"/>
        <v/>
      </c>
      <c r="AJ423" s="164" t="str">
        <f>IF(AND(OpenPendingCases[[#This Row],[Sale Status	]]="Open Sale",OpenPendingCases[[#This Row],[Potential Same Month]]="High"),TEXT(OpenPendingCases[[#This Row],[Request Entry Date]], "[$-en-us]mmmm"),"")</f>
        <v/>
      </c>
      <c r="AK423" s="165" t="str">
        <f>IFERROR(VALUE(SUBSTITUTE(OpenPendingCases[[#This Row],[Price]]," AED","")),"")</f>
        <v/>
      </c>
      <c r="AL423" s="165" t="str">
        <f>IFERROR(VALUE(LEFT(OpenPendingCases[[#This Row],[Price]],FIND(" ",OpenPendingCases[[#This Row],[Price]])-1)),"")</f>
        <v/>
      </c>
      <c r="AM423" s="165" t="str">
        <f>IFERROR(VALUE(_xlfn.TEXTBEFORE(OpenPendingCases[[#This Row],[Price]]," AED")),"")</f>
        <v/>
      </c>
      <c r="AN423" s="165"/>
    </row>
    <row r="424" spans="3:40" ht="18" hidden="1" x14ac:dyDescent="0.35">
      <c r="C424" s="134"/>
      <c r="D424" s="137" t="str">
        <f>IF($U424="Open Sale", IF(MAX($D$4:D423)+1=0, "", MAX($D$4:D423)+1), "")</f>
        <v/>
      </c>
      <c r="E424" s="137" t="str">
        <f>IF($U424="Pending Allocation", IF(MAX($E$4:E423)+1=0, "", MAX($E$4:E423)+1), "")</f>
        <v/>
      </c>
      <c r="F424" s="137"/>
      <c r="G424" s="137"/>
      <c r="H424" s="150"/>
      <c r="I424" s="150"/>
      <c r="J424" s="68" t="str">
        <f>IF(OpenPendingCases[[#This Row],[Timepiece Reference ]]="", "", IF(_xlfn.XLOOKUP(OpenPendingCases[[#This Row],[Timepiece Reference ]], Table1[[Timepiece Reference ]], Table1[CRC STOCK], "Not Found")="YES", "CRC Stock", "Boutique Stock"))</f>
        <v/>
      </c>
      <c r="K424" s="137" t="str">
        <f>IF(OpenPendingCases[[#This Row],[Timepiece Reference ]]="", "", IF(_xlfn.XLOOKUP(OpenPendingCases[[#This Row],[Timepiece Reference ]], Table1[[Timepiece Reference ]], Table1[CRC STOCK], "Not Found")="YES", "CRC Stock", "Boutique Stock"))</f>
        <v/>
      </c>
      <c r="L424" s="143"/>
      <c r="M424" s="141"/>
      <c r="N424" s="137"/>
      <c r="O424" s="134"/>
      <c r="P424" s="94" t="str">
        <f>IFERROR(VLOOKUP(TRIM(O424), Collection!$B$2:$D$1001, 2, FALSE), "")</f>
        <v/>
      </c>
      <c r="Q424" s="190" t="str">
        <f>IFERROR(VLOOKUP(TRIM(O424), Collection!$B$2:$D$1001, 3, FALSE), "")</f>
        <v/>
      </c>
      <c r="R424" s="153" t="str">
        <f t="shared" si="44"/>
        <v/>
      </c>
      <c r="S424" s="151"/>
      <c r="T424" s="158"/>
      <c r="U424" s="137"/>
      <c r="V424" s="137"/>
      <c r="W424" s="156" t="str">
        <f t="shared" si="48"/>
        <v/>
      </c>
      <c r="X424" s="157"/>
      <c r="Y424" s="158"/>
      <c r="Z424" s="158"/>
      <c r="AA424" s="137" t="str">
        <f t="shared" ca="1" si="49"/>
        <v/>
      </c>
      <c r="AB424" s="137" t="str">
        <f t="shared" ca="1" si="45"/>
        <v/>
      </c>
      <c r="AC424" s="160" t="str">
        <f t="shared" ca="1" si="46"/>
        <v/>
      </c>
      <c r="AD424" s="159" t="str">
        <f t="shared" ca="1" si="47"/>
        <v/>
      </c>
      <c r="AE424" s="161"/>
      <c r="AF424" s="161"/>
      <c r="AG424" s="161"/>
      <c r="AH424" s="137"/>
      <c r="AI424" s="164" t="str">
        <f t="shared" si="50"/>
        <v/>
      </c>
      <c r="AJ424" s="164" t="str">
        <f>IF(AND(OpenPendingCases[[#This Row],[Sale Status	]]="Open Sale",OpenPendingCases[[#This Row],[Potential Same Month]]="High"),TEXT(OpenPendingCases[[#This Row],[Request Entry Date]], "[$-en-us]mmmm"),"")</f>
        <v/>
      </c>
      <c r="AK424" s="165" t="str">
        <f>IFERROR(VALUE(SUBSTITUTE(OpenPendingCases[[#This Row],[Price]]," AED","")),"")</f>
        <v/>
      </c>
      <c r="AL424" s="165" t="str">
        <f>IFERROR(VALUE(LEFT(OpenPendingCases[[#This Row],[Price]],FIND(" ",OpenPendingCases[[#This Row],[Price]])-1)),"")</f>
        <v/>
      </c>
      <c r="AM424" s="165" t="str">
        <f>IFERROR(VALUE(_xlfn.TEXTBEFORE(OpenPendingCases[[#This Row],[Price]]," AED")),"")</f>
        <v/>
      </c>
      <c r="AN424" s="165"/>
    </row>
    <row r="425" spans="3:40" ht="18" hidden="1" x14ac:dyDescent="0.35">
      <c r="C425" s="134"/>
      <c r="D425" s="137" t="str">
        <f>IF($U425="Open Sale", IF(MAX($D$4:D424)+1=0, "", MAX($D$4:D424)+1), "")</f>
        <v/>
      </c>
      <c r="E425" s="137" t="str">
        <f>IF($U425="Pending Allocation", IF(MAX($E$4:E424)+1=0, "", MAX($E$4:E424)+1), "")</f>
        <v/>
      </c>
      <c r="F425" s="137"/>
      <c r="G425" s="137"/>
      <c r="H425" s="150"/>
      <c r="I425" s="150"/>
      <c r="J425" s="68" t="str">
        <f>IF(OpenPendingCases[[#This Row],[Timepiece Reference ]]="", "", IF(_xlfn.XLOOKUP(OpenPendingCases[[#This Row],[Timepiece Reference ]], Table1[[Timepiece Reference ]], Table1[CRC STOCK], "Not Found")="YES", "CRC Stock", "Boutique Stock"))</f>
        <v/>
      </c>
      <c r="K425" s="137" t="str">
        <f>IF(OpenPendingCases[[#This Row],[Timepiece Reference ]]="", "", IF(_xlfn.XLOOKUP(OpenPendingCases[[#This Row],[Timepiece Reference ]], Table1[[Timepiece Reference ]], Table1[CRC STOCK], "Not Found")="YES", "CRC Stock", "Boutique Stock"))</f>
        <v/>
      </c>
      <c r="L425" s="143"/>
      <c r="M425" s="141"/>
      <c r="N425" s="137"/>
      <c r="O425" s="134"/>
      <c r="P425" s="94" t="str">
        <f>IFERROR(VLOOKUP(TRIM(O425), Collection!$B$2:$D$1001, 2, FALSE), "")</f>
        <v/>
      </c>
      <c r="Q425" s="190" t="str">
        <f>IFERROR(VLOOKUP(TRIM(O425), Collection!$B$2:$D$1001, 3, FALSE), "")</f>
        <v/>
      </c>
      <c r="R425" s="153" t="str">
        <f t="shared" si="44"/>
        <v/>
      </c>
      <c r="S425" s="151"/>
      <c r="T425" s="158"/>
      <c r="U425" s="137"/>
      <c r="V425" s="137"/>
      <c r="W425" s="156" t="str">
        <f t="shared" si="48"/>
        <v/>
      </c>
      <c r="X425" s="157"/>
      <c r="Y425" s="158"/>
      <c r="Z425" s="158"/>
      <c r="AA425" s="137" t="str">
        <f t="shared" ca="1" si="49"/>
        <v/>
      </c>
      <c r="AB425" s="137" t="str">
        <f t="shared" ca="1" si="45"/>
        <v/>
      </c>
      <c r="AC425" s="160" t="str">
        <f t="shared" ca="1" si="46"/>
        <v/>
      </c>
      <c r="AD425" s="159" t="str">
        <f t="shared" ca="1" si="47"/>
        <v/>
      </c>
      <c r="AE425" s="161"/>
      <c r="AF425" s="161"/>
      <c r="AG425" s="161"/>
      <c r="AH425" s="137"/>
      <c r="AI425" s="164" t="str">
        <f t="shared" si="50"/>
        <v/>
      </c>
      <c r="AJ425" s="164" t="str">
        <f>IF(AND(OpenPendingCases[[#This Row],[Sale Status	]]="Open Sale",OpenPendingCases[[#This Row],[Potential Same Month]]="High"),TEXT(OpenPendingCases[[#This Row],[Request Entry Date]], "[$-en-us]mmmm"),"")</f>
        <v/>
      </c>
      <c r="AK425" s="165" t="str">
        <f>IFERROR(VALUE(SUBSTITUTE(OpenPendingCases[[#This Row],[Price]]," AED","")),"")</f>
        <v/>
      </c>
      <c r="AL425" s="165" t="str">
        <f>IFERROR(VALUE(LEFT(OpenPendingCases[[#This Row],[Price]],FIND(" ",OpenPendingCases[[#This Row],[Price]])-1)),"")</f>
        <v/>
      </c>
      <c r="AM425" s="165" t="str">
        <f>IFERROR(VALUE(_xlfn.TEXTBEFORE(OpenPendingCases[[#This Row],[Price]]," AED")),"")</f>
        <v/>
      </c>
      <c r="AN425" s="165"/>
    </row>
    <row r="426" spans="3:40" ht="18" hidden="1" x14ac:dyDescent="0.35">
      <c r="C426" s="134"/>
      <c r="D426" s="137" t="str">
        <f>IF($U426="Open Sale", IF(MAX($D$4:D425)+1=0, "", MAX($D$4:D425)+1), "")</f>
        <v/>
      </c>
      <c r="E426" s="137" t="str">
        <f>IF($U426="Pending Allocation", IF(MAX($E$4:E425)+1=0, "", MAX($E$4:E425)+1), "")</f>
        <v/>
      </c>
      <c r="F426" s="137"/>
      <c r="G426" s="137"/>
      <c r="H426" s="150"/>
      <c r="I426" s="150"/>
      <c r="J426" s="68" t="str">
        <f>IF(OpenPendingCases[[#This Row],[Timepiece Reference ]]="", "", IF(_xlfn.XLOOKUP(OpenPendingCases[[#This Row],[Timepiece Reference ]], Table1[[Timepiece Reference ]], Table1[CRC STOCK], "Not Found")="YES", "CRC Stock", "Boutique Stock"))</f>
        <v/>
      </c>
      <c r="K426" s="137" t="str">
        <f>IF(OpenPendingCases[[#This Row],[Timepiece Reference ]]="", "", IF(_xlfn.XLOOKUP(OpenPendingCases[[#This Row],[Timepiece Reference ]], Table1[[Timepiece Reference ]], Table1[CRC STOCK], "Not Found")="YES", "CRC Stock", "Boutique Stock"))</f>
        <v/>
      </c>
      <c r="L426" s="143"/>
      <c r="M426" s="141"/>
      <c r="N426" s="137"/>
      <c r="O426" s="134"/>
      <c r="P426" s="94" t="str">
        <f>IFERROR(VLOOKUP(TRIM(O426), Collection!$B$2:$D$1001, 2, FALSE), "")</f>
        <v/>
      </c>
      <c r="Q426" s="190" t="str">
        <f>IFERROR(VLOOKUP(TRIM(O426), Collection!$B$2:$D$1001, 3, FALSE), "")</f>
        <v/>
      </c>
      <c r="R426" s="153" t="str">
        <f t="shared" si="44"/>
        <v/>
      </c>
      <c r="S426" s="151"/>
      <c r="T426" s="158"/>
      <c r="U426" s="137"/>
      <c r="V426" s="137"/>
      <c r="W426" s="156" t="str">
        <f t="shared" si="48"/>
        <v/>
      </c>
      <c r="X426" s="157"/>
      <c r="Y426" s="158"/>
      <c r="Z426" s="158"/>
      <c r="AA426" s="137" t="str">
        <f t="shared" ca="1" si="49"/>
        <v/>
      </c>
      <c r="AB426" s="137" t="str">
        <f t="shared" ca="1" si="45"/>
        <v/>
      </c>
      <c r="AC426" s="160" t="str">
        <f t="shared" ca="1" si="46"/>
        <v/>
      </c>
      <c r="AD426" s="159" t="str">
        <f t="shared" ca="1" si="47"/>
        <v/>
      </c>
      <c r="AE426" s="161"/>
      <c r="AF426" s="161"/>
      <c r="AG426" s="161"/>
      <c r="AH426" s="137"/>
      <c r="AI426" s="164" t="str">
        <f t="shared" si="50"/>
        <v/>
      </c>
      <c r="AJ426" s="164" t="str">
        <f>IF(AND(OpenPendingCases[[#This Row],[Sale Status	]]="Open Sale",OpenPendingCases[[#This Row],[Potential Same Month]]="High"),TEXT(OpenPendingCases[[#This Row],[Request Entry Date]], "[$-en-us]mmmm"),"")</f>
        <v/>
      </c>
      <c r="AK426" s="165" t="str">
        <f>IFERROR(VALUE(SUBSTITUTE(OpenPendingCases[[#This Row],[Price]]," AED","")),"")</f>
        <v/>
      </c>
      <c r="AL426" s="165" t="str">
        <f>IFERROR(VALUE(LEFT(OpenPendingCases[[#This Row],[Price]],FIND(" ",OpenPendingCases[[#This Row],[Price]])-1)),"")</f>
        <v/>
      </c>
      <c r="AM426" s="165" t="str">
        <f>IFERROR(VALUE(_xlfn.TEXTBEFORE(OpenPendingCases[[#This Row],[Price]]," AED")),"")</f>
        <v/>
      </c>
      <c r="AN426" s="165"/>
    </row>
    <row r="427" spans="3:40" ht="18" hidden="1" x14ac:dyDescent="0.35">
      <c r="C427" s="134"/>
      <c r="D427" s="137" t="str">
        <f>IF($U427="Open Sale", IF(MAX($D$4:D426)+1=0, "", MAX($D$4:D426)+1), "")</f>
        <v/>
      </c>
      <c r="E427" s="137" t="str">
        <f>IF($U427="Pending Allocation", IF(MAX($E$4:E426)+1=0, "", MAX($E$4:E426)+1), "")</f>
        <v/>
      </c>
      <c r="F427" s="137"/>
      <c r="G427" s="137"/>
      <c r="H427" s="150"/>
      <c r="I427" s="150"/>
      <c r="J427" s="68" t="str">
        <f>IF(OpenPendingCases[[#This Row],[Timepiece Reference ]]="", "", IF(_xlfn.XLOOKUP(OpenPendingCases[[#This Row],[Timepiece Reference ]], Table1[[Timepiece Reference ]], Table1[CRC STOCK], "Not Found")="YES", "CRC Stock", "Boutique Stock"))</f>
        <v/>
      </c>
      <c r="K427" s="137" t="str">
        <f>IF(OpenPendingCases[[#This Row],[Timepiece Reference ]]="", "", IF(_xlfn.XLOOKUP(OpenPendingCases[[#This Row],[Timepiece Reference ]], Table1[[Timepiece Reference ]], Table1[CRC STOCK], "Not Found")="YES", "CRC Stock", "Boutique Stock"))</f>
        <v/>
      </c>
      <c r="L427" s="143"/>
      <c r="M427" s="141"/>
      <c r="N427" s="137"/>
      <c r="O427" s="134"/>
      <c r="P427" s="94" t="str">
        <f>IFERROR(VLOOKUP(TRIM(O427), Collection!$B$2:$D$1001, 2, FALSE), "")</f>
        <v/>
      </c>
      <c r="Q427" s="190" t="str">
        <f>IFERROR(VLOOKUP(TRIM(O427), Collection!$B$2:$D$1001, 3, FALSE), "")</f>
        <v/>
      </c>
      <c r="R427" s="153" t="str">
        <f t="shared" si="44"/>
        <v/>
      </c>
      <c r="S427" s="151"/>
      <c r="T427" s="158"/>
      <c r="U427" s="137"/>
      <c r="V427" s="137"/>
      <c r="W427" s="156" t="str">
        <f t="shared" si="48"/>
        <v/>
      </c>
      <c r="X427" s="157"/>
      <c r="Y427" s="158"/>
      <c r="Z427" s="158"/>
      <c r="AA427" s="137" t="str">
        <f t="shared" ca="1" si="49"/>
        <v/>
      </c>
      <c r="AB427" s="137" t="str">
        <f t="shared" ca="1" si="45"/>
        <v/>
      </c>
      <c r="AC427" s="160" t="str">
        <f t="shared" ca="1" si="46"/>
        <v/>
      </c>
      <c r="AD427" s="159" t="str">
        <f t="shared" ca="1" si="47"/>
        <v/>
      </c>
      <c r="AE427" s="161"/>
      <c r="AF427" s="161"/>
      <c r="AG427" s="161"/>
      <c r="AH427" s="137"/>
      <c r="AI427" s="164" t="str">
        <f t="shared" si="50"/>
        <v/>
      </c>
      <c r="AJ427" s="164" t="str">
        <f>IF(AND(OpenPendingCases[[#This Row],[Sale Status	]]="Open Sale",OpenPendingCases[[#This Row],[Potential Same Month]]="High"),TEXT(OpenPendingCases[[#This Row],[Request Entry Date]], "[$-en-us]mmmm"),"")</f>
        <v/>
      </c>
      <c r="AK427" s="165" t="str">
        <f>IFERROR(VALUE(SUBSTITUTE(OpenPendingCases[[#This Row],[Price]]," AED","")),"")</f>
        <v/>
      </c>
      <c r="AL427" s="165" t="str">
        <f>IFERROR(VALUE(LEFT(OpenPendingCases[[#This Row],[Price]],FIND(" ",OpenPendingCases[[#This Row],[Price]])-1)),"")</f>
        <v/>
      </c>
      <c r="AM427" s="165" t="str">
        <f>IFERROR(VALUE(_xlfn.TEXTBEFORE(OpenPendingCases[[#This Row],[Price]]," AED")),"")</f>
        <v/>
      </c>
      <c r="AN427" s="165"/>
    </row>
    <row r="428" spans="3:40" ht="18" hidden="1" x14ac:dyDescent="0.35">
      <c r="C428" s="134"/>
      <c r="D428" s="137" t="str">
        <f>IF($U428="Open Sale", IF(MAX($D$4:D427)+1=0, "", MAX($D$4:D427)+1), "")</f>
        <v/>
      </c>
      <c r="E428" s="137" t="str">
        <f>IF($U428="Pending Allocation", IF(MAX($E$4:E427)+1=0, "", MAX($E$4:E427)+1), "")</f>
        <v/>
      </c>
      <c r="F428" s="137"/>
      <c r="G428" s="137"/>
      <c r="H428" s="150"/>
      <c r="I428" s="150"/>
      <c r="J428" s="68" t="str">
        <f>IF(OpenPendingCases[[#This Row],[Timepiece Reference ]]="", "", IF(_xlfn.XLOOKUP(OpenPendingCases[[#This Row],[Timepiece Reference ]], Table1[[Timepiece Reference ]], Table1[CRC STOCK], "Not Found")="YES", "CRC Stock", "Boutique Stock"))</f>
        <v/>
      </c>
      <c r="K428" s="137" t="str">
        <f>IF(OpenPendingCases[[#This Row],[Timepiece Reference ]]="", "", IF(_xlfn.XLOOKUP(OpenPendingCases[[#This Row],[Timepiece Reference ]], Table1[[Timepiece Reference ]], Table1[CRC STOCK], "Not Found")="YES", "CRC Stock", "Boutique Stock"))</f>
        <v/>
      </c>
      <c r="L428" s="143"/>
      <c r="M428" s="141"/>
      <c r="N428" s="137"/>
      <c r="O428" s="134"/>
      <c r="P428" s="94" t="str">
        <f>IFERROR(VLOOKUP(TRIM(O428), Collection!$B$2:$D$1001, 2, FALSE), "")</f>
        <v/>
      </c>
      <c r="Q428" s="190" t="str">
        <f>IFERROR(VLOOKUP(TRIM(O428), Collection!$B$2:$D$1001, 3, FALSE), "")</f>
        <v/>
      </c>
      <c r="R428" s="153" t="str">
        <f t="shared" si="44"/>
        <v/>
      </c>
      <c r="S428" s="151"/>
      <c r="T428" s="158"/>
      <c r="U428" s="137"/>
      <c r="V428" s="137"/>
      <c r="W428" s="156" t="str">
        <f t="shared" si="48"/>
        <v/>
      </c>
      <c r="X428" s="157"/>
      <c r="Y428" s="158"/>
      <c r="Z428" s="158"/>
      <c r="AA428" s="137" t="str">
        <f t="shared" ca="1" si="49"/>
        <v/>
      </c>
      <c r="AB428" s="137" t="str">
        <f t="shared" ca="1" si="45"/>
        <v/>
      </c>
      <c r="AC428" s="160" t="str">
        <f t="shared" ca="1" si="46"/>
        <v/>
      </c>
      <c r="AD428" s="159" t="str">
        <f t="shared" ca="1" si="47"/>
        <v/>
      </c>
      <c r="AE428" s="161"/>
      <c r="AF428" s="161"/>
      <c r="AG428" s="161"/>
      <c r="AH428" s="137"/>
      <c r="AI428" s="164" t="str">
        <f t="shared" si="50"/>
        <v/>
      </c>
      <c r="AJ428" s="164" t="str">
        <f>IF(AND(OpenPendingCases[[#This Row],[Sale Status	]]="Open Sale",OpenPendingCases[[#This Row],[Potential Same Month]]="High"),TEXT(OpenPendingCases[[#This Row],[Request Entry Date]], "[$-en-us]mmmm"),"")</f>
        <v/>
      </c>
      <c r="AK428" s="165" t="str">
        <f>IFERROR(VALUE(SUBSTITUTE(OpenPendingCases[[#This Row],[Price]]," AED","")),"")</f>
        <v/>
      </c>
      <c r="AL428" s="165" t="str">
        <f>IFERROR(VALUE(LEFT(OpenPendingCases[[#This Row],[Price]],FIND(" ",OpenPendingCases[[#This Row],[Price]])-1)),"")</f>
        <v/>
      </c>
      <c r="AM428" s="165" t="str">
        <f>IFERROR(VALUE(_xlfn.TEXTBEFORE(OpenPendingCases[[#This Row],[Price]]," AED")),"")</f>
        <v/>
      </c>
      <c r="AN428" s="165"/>
    </row>
    <row r="429" spans="3:40" ht="18" hidden="1" x14ac:dyDescent="0.35">
      <c r="C429" s="134"/>
      <c r="D429" s="137" t="str">
        <f>IF($U429="Open Sale", IF(MAX($D$4:D428)+1=0, "", MAX($D$4:D428)+1), "")</f>
        <v/>
      </c>
      <c r="E429" s="137" t="str">
        <f>IF($U429="Pending Allocation", IF(MAX($E$4:E428)+1=0, "", MAX($E$4:E428)+1), "")</f>
        <v/>
      </c>
      <c r="F429" s="137"/>
      <c r="G429" s="137"/>
      <c r="H429" s="150"/>
      <c r="I429" s="150"/>
      <c r="J429" s="68" t="str">
        <f>IF(OpenPendingCases[[#This Row],[Timepiece Reference ]]="", "", IF(_xlfn.XLOOKUP(OpenPendingCases[[#This Row],[Timepiece Reference ]], Table1[[Timepiece Reference ]], Table1[CRC STOCK], "Not Found")="YES", "CRC Stock", "Boutique Stock"))</f>
        <v/>
      </c>
      <c r="K429" s="137" t="str">
        <f>IF(OpenPendingCases[[#This Row],[Timepiece Reference ]]="", "", IF(_xlfn.XLOOKUP(OpenPendingCases[[#This Row],[Timepiece Reference ]], Table1[[Timepiece Reference ]], Table1[CRC STOCK], "Not Found")="YES", "CRC Stock", "Boutique Stock"))</f>
        <v/>
      </c>
      <c r="L429" s="143"/>
      <c r="M429" s="141"/>
      <c r="N429" s="137"/>
      <c r="O429" s="134"/>
      <c r="P429" s="94" t="str">
        <f>IFERROR(VLOOKUP(TRIM(O429), Collection!$B$2:$D$1001, 2, FALSE), "")</f>
        <v/>
      </c>
      <c r="Q429" s="190" t="str">
        <f>IFERROR(VLOOKUP(TRIM(O429), Collection!$B$2:$D$1001, 3, FALSE), "")</f>
        <v/>
      </c>
      <c r="R429" s="153" t="str">
        <f t="shared" si="44"/>
        <v/>
      </c>
      <c r="S429" s="151"/>
      <c r="T429" s="158"/>
      <c r="U429" s="137"/>
      <c r="V429" s="137"/>
      <c r="W429" s="156" t="str">
        <f t="shared" si="48"/>
        <v/>
      </c>
      <c r="X429" s="157"/>
      <c r="Y429" s="158"/>
      <c r="Z429" s="158"/>
      <c r="AA429" s="137" t="str">
        <f t="shared" ca="1" si="49"/>
        <v/>
      </c>
      <c r="AB429" s="137" t="str">
        <f t="shared" ca="1" si="45"/>
        <v/>
      </c>
      <c r="AC429" s="160" t="str">
        <f t="shared" ca="1" si="46"/>
        <v/>
      </c>
      <c r="AD429" s="159" t="str">
        <f t="shared" ca="1" si="47"/>
        <v/>
      </c>
      <c r="AE429" s="161"/>
      <c r="AF429" s="161"/>
      <c r="AG429" s="161"/>
      <c r="AH429" s="137"/>
      <c r="AI429" s="164" t="str">
        <f t="shared" si="50"/>
        <v/>
      </c>
      <c r="AJ429" s="164" t="str">
        <f>IF(AND(OpenPendingCases[[#This Row],[Sale Status	]]="Open Sale",OpenPendingCases[[#This Row],[Potential Same Month]]="High"),TEXT(OpenPendingCases[[#This Row],[Request Entry Date]], "[$-en-us]mmmm"),"")</f>
        <v/>
      </c>
      <c r="AK429" s="165" t="str">
        <f>IFERROR(VALUE(SUBSTITUTE(OpenPendingCases[[#This Row],[Price]]," AED","")),"")</f>
        <v/>
      </c>
      <c r="AL429" s="165" t="str">
        <f>IFERROR(VALUE(LEFT(OpenPendingCases[[#This Row],[Price]],FIND(" ",OpenPendingCases[[#This Row],[Price]])-1)),"")</f>
        <v/>
      </c>
      <c r="AM429" s="165" t="str">
        <f>IFERROR(VALUE(_xlfn.TEXTBEFORE(OpenPendingCases[[#This Row],[Price]]," AED")),"")</f>
        <v/>
      </c>
      <c r="AN429" s="165"/>
    </row>
    <row r="430" spans="3:40" ht="18" hidden="1" x14ac:dyDescent="0.35">
      <c r="C430" s="134"/>
      <c r="D430" s="137" t="str">
        <f>IF($U430="Open Sale", IF(MAX($D$4:D429)+1=0, "", MAX($D$4:D429)+1), "")</f>
        <v/>
      </c>
      <c r="E430" s="137" t="str">
        <f>IF($U430="Pending Allocation", IF(MAX($E$4:E429)+1=0, "", MAX($E$4:E429)+1), "")</f>
        <v/>
      </c>
      <c r="F430" s="137"/>
      <c r="G430" s="137"/>
      <c r="H430" s="150"/>
      <c r="I430" s="150"/>
      <c r="J430" s="68" t="str">
        <f>IF(OpenPendingCases[[#This Row],[Timepiece Reference ]]="", "", IF(_xlfn.XLOOKUP(OpenPendingCases[[#This Row],[Timepiece Reference ]], Table1[[Timepiece Reference ]], Table1[CRC STOCK], "Not Found")="YES", "CRC Stock", "Boutique Stock"))</f>
        <v/>
      </c>
      <c r="K430" s="137" t="str">
        <f>IF(OpenPendingCases[[#This Row],[Timepiece Reference ]]="", "", IF(_xlfn.XLOOKUP(OpenPendingCases[[#This Row],[Timepiece Reference ]], Table1[[Timepiece Reference ]], Table1[CRC STOCK], "Not Found")="YES", "CRC Stock", "Boutique Stock"))</f>
        <v/>
      </c>
      <c r="L430" s="143"/>
      <c r="M430" s="141"/>
      <c r="N430" s="137"/>
      <c r="O430" s="134"/>
      <c r="P430" s="94" t="str">
        <f>IFERROR(VLOOKUP(TRIM(O430), Collection!$B$2:$D$1001, 2, FALSE), "")</f>
        <v/>
      </c>
      <c r="Q430" s="190" t="str">
        <f>IFERROR(VLOOKUP(TRIM(O430), Collection!$B$2:$D$1001, 3, FALSE), "")</f>
        <v/>
      </c>
      <c r="R430" s="153" t="str">
        <f t="shared" si="44"/>
        <v/>
      </c>
      <c r="S430" s="151"/>
      <c r="T430" s="158"/>
      <c r="U430" s="137"/>
      <c r="V430" s="137"/>
      <c r="W430" s="156" t="str">
        <f t="shared" si="48"/>
        <v/>
      </c>
      <c r="X430" s="157"/>
      <c r="Y430" s="158"/>
      <c r="Z430" s="158"/>
      <c r="AA430" s="137" t="str">
        <f t="shared" ca="1" si="49"/>
        <v/>
      </c>
      <c r="AB430" s="137" t="str">
        <f t="shared" ca="1" si="45"/>
        <v/>
      </c>
      <c r="AC430" s="160" t="str">
        <f t="shared" ca="1" si="46"/>
        <v/>
      </c>
      <c r="AD430" s="159" t="str">
        <f t="shared" ca="1" si="47"/>
        <v/>
      </c>
      <c r="AE430" s="161"/>
      <c r="AF430" s="161"/>
      <c r="AG430" s="161"/>
      <c r="AH430" s="137"/>
      <c r="AI430" s="164" t="str">
        <f t="shared" si="50"/>
        <v/>
      </c>
      <c r="AJ430" s="164" t="str">
        <f>IF(AND(OpenPendingCases[[#This Row],[Sale Status	]]="Open Sale",OpenPendingCases[[#This Row],[Potential Same Month]]="High"),TEXT(OpenPendingCases[[#This Row],[Request Entry Date]], "[$-en-us]mmmm"),"")</f>
        <v/>
      </c>
      <c r="AK430" s="165" t="str">
        <f>IFERROR(VALUE(SUBSTITUTE(OpenPendingCases[[#This Row],[Price]]," AED","")),"")</f>
        <v/>
      </c>
      <c r="AL430" s="165" t="str">
        <f>IFERROR(VALUE(LEFT(OpenPendingCases[[#This Row],[Price]],FIND(" ",OpenPendingCases[[#This Row],[Price]])-1)),"")</f>
        <v/>
      </c>
      <c r="AM430" s="165" t="str">
        <f>IFERROR(VALUE(_xlfn.TEXTBEFORE(OpenPendingCases[[#This Row],[Price]]," AED")),"")</f>
        <v/>
      </c>
      <c r="AN430" s="165"/>
    </row>
    <row r="431" spans="3:40" ht="18" hidden="1" x14ac:dyDescent="0.35">
      <c r="C431" s="134"/>
      <c r="D431" s="137" t="str">
        <f>IF($U431="Open Sale", IF(MAX($D$4:D430)+1=0, "", MAX($D$4:D430)+1), "")</f>
        <v/>
      </c>
      <c r="E431" s="137" t="str">
        <f>IF($U431="Pending Allocation", IF(MAX($E$4:E430)+1=0, "", MAX($E$4:E430)+1), "")</f>
        <v/>
      </c>
      <c r="F431" s="137"/>
      <c r="G431" s="137"/>
      <c r="H431" s="150"/>
      <c r="I431" s="150"/>
      <c r="J431" s="68" t="str">
        <f>IF(OpenPendingCases[[#This Row],[Timepiece Reference ]]="", "", IF(_xlfn.XLOOKUP(OpenPendingCases[[#This Row],[Timepiece Reference ]], Table1[[Timepiece Reference ]], Table1[CRC STOCK], "Not Found")="YES", "CRC Stock", "Boutique Stock"))</f>
        <v/>
      </c>
      <c r="K431" s="137" t="str">
        <f>IF(OpenPendingCases[[#This Row],[Timepiece Reference ]]="", "", IF(_xlfn.XLOOKUP(OpenPendingCases[[#This Row],[Timepiece Reference ]], Table1[[Timepiece Reference ]], Table1[CRC STOCK], "Not Found")="YES", "CRC Stock", "Boutique Stock"))</f>
        <v/>
      </c>
      <c r="L431" s="143"/>
      <c r="M431" s="141"/>
      <c r="N431" s="137"/>
      <c r="O431" s="134"/>
      <c r="P431" s="94" t="str">
        <f>IFERROR(VLOOKUP(TRIM(O431), Collection!$B$2:$D$1001, 2, FALSE), "")</f>
        <v/>
      </c>
      <c r="Q431" s="190" t="str">
        <f>IFERROR(VLOOKUP(TRIM(O431), Collection!$B$2:$D$1001, 3, FALSE), "")</f>
        <v/>
      </c>
      <c r="R431" s="153" t="str">
        <f t="shared" si="44"/>
        <v/>
      </c>
      <c r="S431" s="151"/>
      <c r="T431" s="158"/>
      <c r="U431" s="137"/>
      <c r="V431" s="137"/>
      <c r="W431" s="156" t="str">
        <f t="shared" si="48"/>
        <v/>
      </c>
      <c r="X431" s="157"/>
      <c r="Y431" s="158"/>
      <c r="Z431" s="158"/>
      <c r="AA431" s="137" t="str">
        <f t="shared" ca="1" si="49"/>
        <v/>
      </c>
      <c r="AB431" s="137" t="str">
        <f t="shared" ca="1" si="45"/>
        <v/>
      </c>
      <c r="AC431" s="160" t="str">
        <f t="shared" ca="1" si="46"/>
        <v/>
      </c>
      <c r="AD431" s="159" t="str">
        <f t="shared" ca="1" si="47"/>
        <v/>
      </c>
      <c r="AE431" s="161"/>
      <c r="AF431" s="161"/>
      <c r="AG431" s="161"/>
      <c r="AH431" s="137"/>
      <c r="AI431" s="164" t="str">
        <f t="shared" si="50"/>
        <v/>
      </c>
      <c r="AJ431" s="164" t="str">
        <f>IF(AND(OpenPendingCases[[#This Row],[Sale Status	]]="Open Sale",OpenPendingCases[[#This Row],[Potential Same Month]]="High"),TEXT(OpenPendingCases[[#This Row],[Request Entry Date]], "[$-en-us]mmmm"),"")</f>
        <v/>
      </c>
      <c r="AK431" s="165" t="str">
        <f>IFERROR(VALUE(SUBSTITUTE(OpenPendingCases[[#This Row],[Price]]," AED","")),"")</f>
        <v/>
      </c>
      <c r="AL431" s="165" t="str">
        <f>IFERROR(VALUE(LEFT(OpenPendingCases[[#This Row],[Price]],FIND(" ",OpenPendingCases[[#This Row],[Price]])-1)),"")</f>
        <v/>
      </c>
      <c r="AM431" s="165" t="str">
        <f>IFERROR(VALUE(_xlfn.TEXTBEFORE(OpenPendingCases[[#This Row],[Price]]," AED")),"")</f>
        <v/>
      </c>
      <c r="AN431" s="165"/>
    </row>
    <row r="432" spans="3:40" ht="18" hidden="1" x14ac:dyDescent="0.35">
      <c r="C432" s="134"/>
      <c r="D432" s="137" t="str">
        <f>IF($U432="Open Sale", IF(MAX($D$4:D431)+1=0, "", MAX($D$4:D431)+1), "")</f>
        <v/>
      </c>
      <c r="E432" s="137" t="str">
        <f>IF($U432="Pending Allocation", IF(MAX($E$4:E431)+1=0, "", MAX($E$4:E431)+1), "")</f>
        <v/>
      </c>
      <c r="F432" s="137"/>
      <c r="G432" s="137"/>
      <c r="H432" s="150"/>
      <c r="I432" s="150"/>
      <c r="J432" s="68" t="str">
        <f>IF(OpenPendingCases[[#This Row],[Timepiece Reference ]]="", "", IF(_xlfn.XLOOKUP(OpenPendingCases[[#This Row],[Timepiece Reference ]], Table1[[Timepiece Reference ]], Table1[CRC STOCK], "Not Found")="YES", "CRC Stock", "Boutique Stock"))</f>
        <v/>
      </c>
      <c r="K432" s="137" t="str">
        <f>IF(OpenPendingCases[[#This Row],[Timepiece Reference ]]="", "", IF(_xlfn.XLOOKUP(OpenPendingCases[[#This Row],[Timepiece Reference ]], Table1[[Timepiece Reference ]], Table1[CRC STOCK], "Not Found")="YES", "CRC Stock", "Boutique Stock"))</f>
        <v/>
      </c>
      <c r="L432" s="143"/>
      <c r="M432" s="141"/>
      <c r="N432" s="137"/>
      <c r="O432" s="134"/>
      <c r="P432" s="94" t="str">
        <f>IFERROR(VLOOKUP(TRIM(O432), Collection!$B$2:$D$1001, 2, FALSE), "")</f>
        <v/>
      </c>
      <c r="Q432" s="190" t="str">
        <f>IFERROR(VLOOKUP(TRIM(O432), Collection!$B$2:$D$1001, 3, FALSE), "")</f>
        <v/>
      </c>
      <c r="R432" s="153" t="str">
        <f t="shared" si="44"/>
        <v/>
      </c>
      <c r="S432" s="151"/>
      <c r="T432" s="158"/>
      <c r="U432" s="137"/>
      <c r="V432" s="137"/>
      <c r="W432" s="156" t="str">
        <f t="shared" si="48"/>
        <v/>
      </c>
      <c r="X432" s="157"/>
      <c r="Y432" s="158"/>
      <c r="Z432" s="158"/>
      <c r="AA432" s="137" t="str">
        <f t="shared" ca="1" si="49"/>
        <v/>
      </c>
      <c r="AB432" s="137" t="str">
        <f t="shared" ca="1" si="45"/>
        <v/>
      </c>
      <c r="AC432" s="160" t="str">
        <f t="shared" ca="1" si="46"/>
        <v/>
      </c>
      <c r="AD432" s="159" t="str">
        <f t="shared" ca="1" si="47"/>
        <v/>
      </c>
      <c r="AE432" s="161"/>
      <c r="AF432" s="161"/>
      <c r="AG432" s="161"/>
      <c r="AH432" s="137"/>
      <c r="AI432" s="164" t="str">
        <f t="shared" si="50"/>
        <v/>
      </c>
      <c r="AJ432" s="164" t="str">
        <f>IF(AND(OpenPendingCases[[#This Row],[Sale Status	]]="Open Sale",OpenPendingCases[[#This Row],[Potential Same Month]]="High"),TEXT(OpenPendingCases[[#This Row],[Request Entry Date]], "[$-en-us]mmmm"),"")</f>
        <v/>
      </c>
      <c r="AK432" s="165" t="str">
        <f>IFERROR(VALUE(SUBSTITUTE(OpenPendingCases[[#This Row],[Price]]," AED","")),"")</f>
        <v/>
      </c>
      <c r="AL432" s="165" t="str">
        <f>IFERROR(VALUE(LEFT(OpenPendingCases[[#This Row],[Price]],FIND(" ",OpenPendingCases[[#This Row],[Price]])-1)),"")</f>
        <v/>
      </c>
      <c r="AM432" s="165" t="str">
        <f>IFERROR(VALUE(_xlfn.TEXTBEFORE(OpenPendingCases[[#This Row],[Price]]," AED")),"")</f>
        <v/>
      </c>
      <c r="AN432" s="165"/>
    </row>
    <row r="433" spans="3:40" ht="18" hidden="1" x14ac:dyDescent="0.35">
      <c r="C433" s="134"/>
      <c r="D433" s="137" t="str">
        <f>IF($U433="Open Sale", IF(MAX($D$4:D432)+1=0, "", MAX($D$4:D432)+1), "")</f>
        <v/>
      </c>
      <c r="E433" s="137" t="str">
        <f>IF($U433="Pending Allocation", IF(MAX($E$4:E432)+1=0, "", MAX($E$4:E432)+1), "")</f>
        <v/>
      </c>
      <c r="F433" s="137"/>
      <c r="G433" s="137"/>
      <c r="H433" s="150"/>
      <c r="I433" s="150"/>
      <c r="J433" s="68" t="str">
        <f>IF(OpenPendingCases[[#This Row],[Timepiece Reference ]]="", "", IF(_xlfn.XLOOKUP(OpenPendingCases[[#This Row],[Timepiece Reference ]], Table1[[Timepiece Reference ]], Table1[CRC STOCK], "Not Found")="YES", "CRC Stock", "Boutique Stock"))</f>
        <v/>
      </c>
      <c r="K433" s="137" t="str">
        <f>IF(OpenPendingCases[[#This Row],[Timepiece Reference ]]="", "", IF(_xlfn.XLOOKUP(OpenPendingCases[[#This Row],[Timepiece Reference ]], Table1[[Timepiece Reference ]], Table1[CRC STOCK], "Not Found")="YES", "CRC Stock", "Boutique Stock"))</f>
        <v/>
      </c>
      <c r="L433" s="143"/>
      <c r="M433" s="141"/>
      <c r="N433" s="137"/>
      <c r="O433" s="134"/>
      <c r="P433" s="94" t="str">
        <f>IFERROR(VLOOKUP(TRIM(O433), Collection!$B$2:$D$1001, 2, FALSE), "")</f>
        <v/>
      </c>
      <c r="Q433" s="190" t="str">
        <f>IFERROR(VLOOKUP(TRIM(O433), Collection!$B$2:$D$1001, 3, FALSE), "")</f>
        <v/>
      </c>
      <c r="R433" s="153" t="str">
        <f t="shared" si="44"/>
        <v/>
      </c>
      <c r="S433" s="151"/>
      <c r="T433" s="158"/>
      <c r="U433" s="137"/>
      <c r="V433" s="137"/>
      <c r="W433" s="156" t="str">
        <f t="shared" si="48"/>
        <v/>
      </c>
      <c r="X433" s="157"/>
      <c r="Y433" s="158"/>
      <c r="Z433" s="158"/>
      <c r="AA433" s="137" t="str">
        <f t="shared" ca="1" si="49"/>
        <v/>
      </c>
      <c r="AB433" s="137" t="str">
        <f t="shared" ca="1" si="45"/>
        <v/>
      </c>
      <c r="AC433" s="160" t="str">
        <f t="shared" ca="1" si="46"/>
        <v/>
      </c>
      <c r="AD433" s="159" t="str">
        <f t="shared" ca="1" si="47"/>
        <v/>
      </c>
      <c r="AE433" s="161"/>
      <c r="AF433" s="161"/>
      <c r="AG433" s="161"/>
      <c r="AH433" s="137"/>
      <c r="AI433" s="164" t="str">
        <f t="shared" si="50"/>
        <v/>
      </c>
      <c r="AJ433" s="164" t="str">
        <f>IF(AND(OpenPendingCases[[#This Row],[Sale Status	]]="Open Sale",OpenPendingCases[[#This Row],[Potential Same Month]]="High"),TEXT(OpenPendingCases[[#This Row],[Request Entry Date]], "[$-en-us]mmmm"),"")</f>
        <v/>
      </c>
      <c r="AK433" s="165" t="str">
        <f>IFERROR(VALUE(SUBSTITUTE(OpenPendingCases[[#This Row],[Price]]," AED","")),"")</f>
        <v/>
      </c>
      <c r="AL433" s="165" t="str">
        <f>IFERROR(VALUE(LEFT(OpenPendingCases[[#This Row],[Price]],FIND(" ",OpenPendingCases[[#This Row],[Price]])-1)),"")</f>
        <v/>
      </c>
      <c r="AM433" s="165" t="str">
        <f>IFERROR(VALUE(_xlfn.TEXTBEFORE(OpenPendingCases[[#This Row],[Price]]," AED")),"")</f>
        <v/>
      </c>
      <c r="AN433" s="165"/>
    </row>
    <row r="434" spans="3:40" ht="18" hidden="1" x14ac:dyDescent="0.35">
      <c r="C434" s="134"/>
      <c r="D434" s="137" t="str">
        <f>IF($U434="Open Sale", IF(MAX($D$4:D433)+1=0, "", MAX($D$4:D433)+1), "")</f>
        <v/>
      </c>
      <c r="E434" s="137" t="str">
        <f>IF($U434="Pending Allocation", IF(MAX($E$4:E433)+1=0, "", MAX($E$4:E433)+1), "")</f>
        <v/>
      </c>
      <c r="F434" s="137"/>
      <c r="G434" s="137"/>
      <c r="H434" s="150"/>
      <c r="I434" s="150"/>
      <c r="J434" s="68" t="str">
        <f>IF(OpenPendingCases[[#This Row],[Timepiece Reference ]]="", "", IF(_xlfn.XLOOKUP(OpenPendingCases[[#This Row],[Timepiece Reference ]], Table1[[Timepiece Reference ]], Table1[CRC STOCK], "Not Found")="YES", "CRC Stock", "Boutique Stock"))</f>
        <v/>
      </c>
      <c r="K434" s="137" t="str">
        <f>IF(OpenPendingCases[[#This Row],[Timepiece Reference ]]="", "", IF(_xlfn.XLOOKUP(OpenPendingCases[[#This Row],[Timepiece Reference ]], Table1[[Timepiece Reference ]], Table1[CRC STOCK], "Not Found")="YES", "CRC Stock", "Boutique Stock"))</f>
        <v/>
      </c>
      <c r="L434" s="143"/>
      <c r="M434" s="141"/>
      <c r="N434" s="137"/>
      <c r="O434" s="134"/>
      <c r="P434" s="94" t="str">
        <f>IFERROR(VLOOKUP(TRIM(O434), Collection!$B$2:$D$1001, 2, FALSE), "")</f>
        <v/>
      </c>
      <c r="Q434" s="190" t="str">
        <f>IFERROR(VLOOKUP(TRIM(O434), Collection!$B$2:$D$1001, 3, FALSE), "")</f>
        <v/>
      </c>
      <c r="R434" s="153" t="str">
        <f t="shared" si="44"/>
        <v/>
      </c>
      <c r="S434" s="151"/>
      <c r="T434" s="158"/>
      <c r="U434" s="137"/>
      <c r="V434" s="137"/>
      <c r="W434" s="156" t="str">
        <f t="shared" si="48"/>
        <v/>
      </c>
      <c r="X434" s="157"/>
      <c r="Y434" s="158"/>
      <c r="Z434" s="158"/>
      <c r="AA434" s="137" t="str">
        <f t="shared" ca="1" si="49"/>
        <v/>
      </c>
      <c r="AB434" s="137" t="str">
        <f t="shared" ca="1" si="45"/>
        <v/>
      </c>
      <c r="AC434" s="160" t="str">
        <f t="shared" ca="1" si="46"/>
        <v/>
      </c>
      <c r="AD434" s="159" t="str">
        <f t="shared" ca="1" si="47"/>
        <v/>
      </c>
      <c r="AE434" s="161"/>
      <c r="AF434" s="161"/>
      <c r="AG434" s="161"/>
      <c r="AH434" s="137"/>
      <c r="AI434" s="164" t="str">
        <f t="shared" si="50"/>
        <v/>
      </c>
      <c r="AJ434" s="164" t="str">
        <f>IF(AND(OpenPendingCases[[#This Row],[Sale Status	]]="Open Sale",OpenPendingCases[[#This Row],[Potential Same Month]]="High"),TEXT(OpenPendingCases[[#This Row],[Request Entry Date]], "[$-en-us]mmmm"),"")</f>
        <v/>
      </c>
      <c r="AK434" s="165" t="str">
        <f>IFERROR(VALUE(SUBSTITUTE(OpenPendingCases[[#This Row],[Price]]," AED","")),"")</f>
        <v/>
      </c>
      <c r="AL434" s="165" t="str">
        <f>IFERROR(VALUE(LEFT(OpenPendingCases[[#This Row],[Price]],FIND(" ",OpenPendingCases[[#This Row],[Price]])-1)),"")</f>
        <v/>
      </c>
      <c r="AM434" s="165" t="str">
        <f>IFERROR(VALUE(_xlfn.TEXTBEFORE(OpenPendingCases[[#This Row],[Price]]," AED")),"")</f>
        <v/>
      </c>
      <c r="AN434" s="165"/>
    </row>
    <row r="435" spans="3:40" ht="18" hidden="1" x14ac:dyDescent="0.35">
      <c r="C435" s="134"/>
      <c r="D435" s="137" t="str">
        <f>IF($U435="Open Sale", IF(MAX($D$4:D434)+1=0, "", MAX($D$4:D434)+1), "")</f>
        <v/>
      </c>
      <c r="E435" s="137" t="str">
        <f>IF($U435="Pending Allocation", IF(MAX($E$4:E434)+1=0, "", MAX($E$4:E434)+1), "")</f>
        <v/>
      </c>
      <c r="F435" s="137"/>
      <c r="G435" s="137"/>
      <c r="H435" s="150"/>
      <c r="I435" s="150"/>
      <c r="J435" s="68" t="str">
        <f>IF(OpenPendingCases[[#This Row],[Timepiece Reference ]]="", "", IF(_xlfn.XLOOKUP(OpenPendingCases[[#This Row],[Timepiece Reference ]], Table1[[Timepiece Reference ]], Table1[CRC STOCK], "Not Found")="YES", "CRC Stock", "Boutique Stock"))</f>
        <v/>
      </c>
      <c r="K435" s="137" t="str">
        <f>IF(OpenPendingCases[[#This Row],[Timepiece Reference ]]="", "", IF(_xlfn.XLOOKUP(OpenPendingCases[[#This Row],[Timepiece Reference ]], Table1[[Timepiece Reference ]], Table1[CRC STOCK], "Not Found")="YES", "CRC Stock", "Boutique Stock"))</f>
        <v/>
      </c>
      <c r="L435" s="143"/>
      <c r="M435" s="141"/>
      <c r="N435" s="137"/>
      <c r="O435" s="134"/>
      <c r="P435" s="94" t="str">
        <f>IFERROR(VLOOKUP(TRIM(O435), Collection!$B$2:$D$1001, 2, FALSE), "")</f>
        <v/>
      </c>
      <c r="Q435" s="190" t="str">
        <f>IFERROR(VLOOKUP(TRIM(O435), Collection!$B$2:$D$1001, 3, FALSE), "")</f>
        <v/>
      </c>
      <c r="R435" s="153" t="str">
        <f t="shared" si="44"/>
        <v/>
      </c>
      <c r="S435" s="151"/>
      <c r="T435" s="158"/>
      <c r="U435" s="137"/>
      <c r="V435" s="137"/>
      <c r="W435" s="156" t="str">
        <f t="shared" si="48"/>
        <v/>
      </c>
      <c r="X435" s="157"/>
      <c r="Y435" s="158"/>
      <c r="Z435" s="158"/>
      <c r="AA435" s="137" t="str">
        <f t="shared" ca="1" si="49"/>
        <v/>
      </c>
      <c r="AB435" s="137" t="str">
        <f t="shared" ca="1" si="45"/>
        <v/>
      </c>
      <c r="AC435" s="160" t="str">
        <f t="shared" ca="1" si="46"/>
        <v/>
      </c>
      <c r="AD435" s="159" t="str">
        <f t="shared" ca="1" si="47"/>
        <v/>
      </c>
      <c r="AE435" s="161"/>
      <c r="AF435" s="161"/>
      <c r="AG435" s="161"/>
      <c r="AH435" s="137"/>
      <c r="AI435" s="164" t="str">
        <f t="shared" si="50"/>
        <v/>
      </c>
      <c r="AJ435" s="164" t="str">
        <f>IF(AND(OpenPendingCases[[#This Row],[Sale Status	]]="Open Sale",OpenPendingCases[[#This Row],[Potential Same Month]]="High"),TEXT(OpenPendingCases[[#This Row],[Request Entry Date]], "[$-en-us]mmmm"),"")</f>
        <v/>
      </c>
      <c r="AK435" s="165" t="str">
        <f>IFERROR(VALUE(SUBSTITUTE(OpenPendingCases[[#This Row],[Price]]," AED","")),"")</f>
        <v/>
      </c>
      <c r="AL435" s="165" t="str">
        <f>IFERROR(VALUE(LEFT(OpenPendingCases[[#This Row],[Price]],FIND(" ",OpenPendingCases[[#This Row],[Price]])-1)),"")</f>
        <v/>
      </c>
      <c r="AM435" s="165" t="str">
        <f>IFERROR(VALUE(_xlfn.TEXTBEFORE(OpenPendingCases[[#This Row],[Price]]," AED")),"")</f>
        <v/>
      </c>
      <c r="AN435" s="165"/>
    </row>
    <row r="436" spans="3:40" ht="18" hidden="1" x14ac:dyDescent="0.35">
      <c r="C436" s="134"/>
      <c r="D436" s="137" t="str">
        <f>IF($U436="Open Sale", IF(MAX($D$4:D435)+1=0, "", MAX($D$4:D435)+1), "")</f>
        <v/>
      </c>
      <c r="E436" s="137" t="str">
        <f>IF($U436="Pending Allocation", IF(MAX($E$4:E435)+1=0, "", MAX($E$4:E435)+1), "")</f>
        <v/>
      </c>
      <c r="F436" s="137"/>
      <c r="G436" s="137"/>
      <c r="H436" s="150"/>
      <c r="I436" s="150"/>
      <c r="J436" s="68" t="str">
        <f>IF(OpenPendingCases[[#This Row],[Timepiece Reference ]]="", "", IF(_xlfn.XLOOKUP(OpenPendingCases[[#This Row],[Timepiece Reference ]], Table1[[Timepiece Reference ]], Table1[CRC STOCK], "Not Found")="YES", "CRC Stock", "Boutique Stock"))</f>
        <v/>
      </c>
      <c r="K436" s="137" t="str">
        <f>IF(OpenPendingCases[[#This Row],[Timepiece Reference ]]="", "", IF(_xlfn.XLOOKUP(OpenPendingCases[[#This Row],[Timepiece Reference ]], Table1[[Timepiece Reference ]], Table1[CRC STOCK], "Not Found")="YES", "CRC Stock", "Boutique Stock"))</f>
        <v/>
      </c>
      <c r="L436" s="143"/>
      <c r="M436" s="141"/>
      <c r="N436" s="137"/>
      <c r="O436" s="134"/>
      <c r="P436" s="94" t="str">
        <f>IFERROR(VLOOKUP(TRIM(O436), Collection!$B$2:$D$1001, 2, FALSE), "")</f>
        <v/>
      </c>
      <c r="Q436" s="190" t="str">
        <f>IFERROR(VLOOKUP(TRIM(O436), Collection!$B$2:$D$1001, 3, FALSE), "")</f>
        <v/>
      </c>
      <c r="R436" s="153" t="str">
        <f t="shared" si="44"/>
        <v/>
      </c>
      <c r="S436" s="151"/>
      <c r="T436" s="158"/>
      <c r="U436" s="137"/>
      <c r="V436" s="137"/>
      <c r="W436" s="156" t="str">
        <f t="shared" si="48"/>
        <v/>
      </c>
      <c r="X436" s="157"/>
      <c r="Y436" s="158"/>
      <c r="Z436" s="158"/>
      <c r="AA436" s="137" t="str">
        <f t="shared" ca="1" si="49"/>
        <v/>
      </c>
      <c r="AB436" s="137" t="str">
        <f t="shared" ca="1" si="45"/>
        <v/>
      </c>
      <c r="AC436" s="160" t="str">
        <f t="shared" ca="1" si="46"/>
        <v/>
      </c>
      <c r="AD436" s="159" t="str">
        <f t="shared" ca="1" si="47"/>
        <v/>
      </c>
      <c r="AE436" s="161"/>
      <c r="AF436" s="161"/>
      <c r="AG436" s="161"/>
      <c r="AH436" s="137"/>
      <c r="AI436" s="164" t="str">
        <f t="shared" si="50"/>
        <v/>
      </c>
      <c r="AJ436" s="164" t="str">
        <f>IF(AND(OpenPendingCases[[#This Row],[Sale Status	]]="Open Sale",OpenPendingCases[[#This Row],[Potential Same Month]]="High"),TEXT(OpenPendingCases[[#This Row],[Request Entry Date]], "[$-en-us]mmmm"),"")</f>
        <v/>
      </c>
      <c r="AK436" s="165" t="str">
        <f>IFERROR(VALUE(SUBSTITUTE(OpenPendingCases[[#This Row],[Price]]," AED","")),"")</f>
        <v/>
      </c>
      <c r="AL436" s="165" t="str">
        <f>IFERROR(VALUE(LEFT(OpenPendingCases[[#This Row],[Price]],FIND(" ",OpenPendingCases[[#This Row],[Price]])-1)),"")</f>
        <v/>
      </c>
      <c r="AM436" s="165" t="str">
        <f>IFERROR(VALUE(_xlfn.TEXTBEFORE(OpenPendingCases[[#This Row],[Price]]," AED")),"")</f>
        <v/>
      </c>
      <c r="AN436" s="165"/>
    </row>
    <row r="437" spans="3:40" ht="18" hidden="1" x14ac:dyDescent="0.35">
      <c r="C437" s="134"/>
      <c r="D437" s="137" t="str">
        <f>IF($U437="Open Sale", IF(MAX($D$4:D436)+1=0, "", MAX($D$4:D436)+1), "")</f>
        <v/>
      </c>
      <c r="E437" s="137" t="str">
        <f>IF($U437="Pending Allocation", IF(MAX($E$4:E436)+1=0, "", MAX($E$4:E436)+1), "")</f>
        <v/>
      </c>
      <c r="F437" s="137"/>
      <c r="G437" s="137"/>
      <c r="H437" s="150"/>
      <c r="I437" s="150"/>
      <c r="J437" s="68" t="str">
        <f>IF(OpenPendingCases[[#This Row],[Timepiece Reference ]]="", "", IF(_xlfn.XLOOKUP(OpenPendingCases[[#This Row],[Timepiece Reference ]], Table1[[Timepiece Reference ]], Table1[CRC STOCK], "Not Found")="YES", "CRC Stock", "Boutique Stock"))</f>
        <v/>
      </c>
      <c r="K437" s="137" t="str">
        <f>IF(OpenPendingCases[[#This Row],[Timepiece Reference ]]="", "", IF(_xlfn.XLOOKUP(OpenPendingCases[[#This Row],[Timepiece Reference ]], Table1[[Timepiece Reference ]], Table1[CRC STOCK], "Not Found")="YES", "CRC Stock", "Boutique Stock"))</f>
        <v/>
      </c>
      <c r="L437" s="143"/>
      <c r="M437" s="141"/>
      <c r="N437" s="137"/>
      <c r="O437" s="134"/>
      <c r="P437" s="94" t="str">
        <f>IFERROR(VLOOKUP(TRIM(O437), Collection!$B$2:$D$1001, 2, FALSE), "")</f>
        <v/>
      </c>
      <c r="Q437" s="190" t="str">
        <f>IFERROR(VLOOKUP(TRIM(O437), Collection!$B$2:$D$1001, 3, FALSE), "")</f>
        <v/>
      </c>
      <c r="R437" s="153" t="str">
        <f t="shared" si="44"/>
        <v/>
      </c>
      <c r="S437" s="151"/>
      <c r="T437" s="158"/>
      <c r="U437" s="137"/>
      <c r="V437" s="137"/>
      <c r="W437" s="156" t="str">
        <f t="shared" si="48"/>
        <v/>
      </c>
      <c r="X437" s="157"/>
      <c r="Y437" s="158"/>
      <c r="Z437" s="158"/>
      <c r="AA437" s="137" t="str">
        <f t="shared" ca="1" si="49"/>
        <v/>
      </c>
      <c r="AB437" s="137" t="str">
        <f t="shared" ca="1" si="45"/>
        <v/>
      </c>
      <c r="AC437" s="160" t="str">
        <f t="shared" ca="1" si="46"/>
        <v/>
      </c>
      <c r="AD437" s="159" t="str">
        <f t="shared" ca="1" si="47"/>
        <v/>
      </c>
      <c r="AE437" s="161"/>
      <c r="AF437" s="161"/>
      <c r="AG437" s="161"/>
      <c r="AH437" s="137"/>
      <c r="AI437" s="164" t="str">
        <f t="shared" si="50"/>
        <v/>
      </c>
      <c r="AJ437" s="164" t="str">
        <f>IF(AND(OpenPendingCases[[#This Row],[Sale Status	]]="Open Sale",OpenPendingCases[[#This Row],[Potential Same Month]]="High"),TEXT(OpenPendingCases[[#This Row],[Request Entry Date]], "[$-en-us]mmmm"),"")</f>
        <v/>
      </c>
      <c r="AK437" s="165" t="str">
        <f>IFERROR(VALUE(SUBSTITUTE(OpenPendingCases[[#This Row],[Price]]," AED","")),"")</f>
        <v/>
      </c>
      <c r="AL437" s="165" t="str">
        <f>IFERROR(VALUE(LEFT(OpenPendingCases[[#This Row],[Price]],FIND(" ",OpenPendingCases[[#This Row],[Price]])-1)),"")</f>
        <v/>
      </c>
      <c r="AM437" s="165" t="str">
        <f>IFERROR(VALUE(_xlfn.TEXTBEFORE(OpenPendingCases[[#This Row],[Price]]," AED")),"")</f>
        <v/>
      </c>
      <c r="AN437" s="165"/>
    </row>
    <row r="438" spans="3:40" ht="18" hidden="1" x14ac:dyDescent="0.35">
      <c r="C438" s="134"/>
      <c r="D438" s="137" t="str">
        <f>IF($U438="Open Sale", IF(MAX($D$4:D437)+1=0, "", MAX($D$4:D437)+1), "")</f>
        <v/>
      </c>
      <c r="E438" s="137" t="str">
        <f>IF($U438="Pending Allocation", IF(MAX($E$4:E437)+1=0, "", MAX($E$4:E437)+1), "")</f>
        <v/>
      </c>
      <c r="F438" s="137"/>
      <c r="G438" s="137"/>
      <c r="H438" s="150"/>
      <c r="I438" s="150"/>
      <c r="J438" s="68" t="str">
        <f>IF(OpenPendingCases[[#This Row],[Timepiece Reference ]]="", "", IF(_xlfn.XLOOKUP(OpenPendingCases[[#This Row],[Timepiece Reference ]], Table1[[Timepiece Reference ]], Table1[CRC STOCK], "Not Found")="YES", "CRC Stock", "Boutique Stock"))</f>
        <v/>
      </c>
      <c r="K438" s="137" t="str">
        <f>IF(OpenPendingCases[[#This Row],[Timepiece Reference ]]="", "", IF(_xlfn.XLOOKUP(OpenPendingCases[[#This Row],[Timepiece Reference ]], Table1[[Timepiece Reference ]], Table1[CRC STOCK], "Not Found")="YES", "CRC Stock", "Boutique Stock"))</f>
        <v/>
      </c>
      <c r="L438" s="143"/>
      <c r="M438" s="141"/>
      <c r="N438" s="137"/>
      <c r="O438" s="134"/>
      <c r="P438" s="94" t="str">
        <f>IFERROR(VLOOKUP(TRIM(O438), Collection!$B$2:$D$1001, 2, FALSE), "")</f>
        <v/>
      </c>
      <c r="Q438" s="190" t="str">
        <f>IFERROR(VLOOKUP(TRIM(O438), Collection!$B$2:$D$1001, 3, FALSE), "")</f>
        <v/>
      </c>
      <c r="R438" s="153" t="str">
        <f t="shared" si="44"/>
        <v/>
      </c>
      <c r="S438" s="151"/>
      <c r="T438" s="158"/>
      <c r="U438" s="137"/>
      <c r="V438" s="137"/>
      <c r="W438" s="156" t="str">
        <f t="shared" si="48"/>
        <v/>
      </c>
      <c r="X438" s="157"/>
      <c r="Y438" s="158"/>
      <c r="Z438" s="158"/>
      <c r="AA438" s="137" t="str">
        <f t="shared" ca="1" si="49"/>
        <v/>
      </c>
      <c r="AB438" s="137" t="str">
        <f t="shared" ca="1" si="45"/>
        <v/>
      </c>
      <c r="AC438" s="160" t="str">
        <f t="shared" ca="1" si="46"/>
        <v/>
      </c>
      <c r="AD438" s="159" t="str">
        <f t="shared" ca="1" si="47"/>
        <v/>
      </c>
      <c r="AE438" s="161"/>
      <c r="AF438" s="161"/>
      <c r="AG438" s="161"/>
      <c r="AH438" s="137"/>
      <c r="AI438" s="164" t="str">
        <f t="shared" si="50"/>
        <v/>
      </c>
      <c r="AJ438" s="164" t="str">
        <f>IF(AND(OpenPendingCases[[#This Row],[Sale Status	]]="Open Sale",OpenPendingCases[[#This Row],[Potential Same Month]]="High"),TEXT(OpenPendingCases[[#This Row],[Request Entry Date]], "[$-en-us]mmmm"),"")</f>
        <v/>
      </c>
      <c r="AK438" s="165" t="str">
        <f>IFERROR(VALUE(SUBSTITUTE(OpenPendingCases[[#This Row],[Price]]," AED","")),"")</f>
        <v/>
      </c>
      <c r="AL438" s="165" t="str">
        <f>IFERROR(VALUE(LEFT(OpenPendingCases[[#This Row],[Price]],FIND(" ",OpenPendingCases[[#This Row],[Price]])-1)),"")</f>
        <v/>
      </c>
      <c r="AM438" s="165" t="str">
        <f>IFERROR(VALUE(_xlfn.TEXTBEFORE(OpenPendingCases[[#This Row],[Price]]," AED")),"")</f>
        <v/>
      </c>
      <c r="AN438" s="165"/>
    </row>
    <row r="439" spans="3:40" ht="18" hidden="1" x14ac:dyDescent="0.35">
      <c r="C439" s="134"/>
      <c r="D439" s="137" t="str">
        <f>IF($U439="Open Sale", IF(MAX($D$4:D438)+1=0, "", MAX($D$4:D438)+1), "")</f>
        <v/>
      </c>
      <c r="E439" s="137" t="str">
        <f>IF($U439="Pending Allocation", IF(MAX($E$4:E438)+1=0, "", MAX($E$4:E438)+1), "")</f>
        <v/>
      </c>
      <c r="F439" s="137"/>
      <c r="G439" s="137"/>
      <c r="H439" s="150"/>
      <c r="I439" s="150"/>
      <c r="J439" s="68" t="str">
        <f>IF(OpenPendingCases[[#This Row],[Timepiece Reference ]]="", "", IF(_xlfn.XLOOKUP(OpenPendingCases[[#This Row],[Timepiece Reference ]], Table1[[Timepiece Reference ]], Table1[CRC STOCK], "Not Found")="YES", "CRC Stock", "Boutique Stock"))</f>
        <v/>
      </c>
      <c r="K439" s="137" t="str">
        <f>IF(OpenPendingCases[[#This Row],[Timepiece Reference ]]="", "", IF(_xlfn.XLOOKUP(OpenPendingCases[[#This Row],[Timepiece Reference ]], Table1[[Timepiece Reference ]], Table1[CRC STOCK], "Not Found")="YES", "CRC Stock", "Boutique Stock"))</f>
        <v/>
      </c>
      <c r="L439" s="143"/>
      <c r="M439" s="141"/>
      <c r="N439" s="137"/>
      <c r="O439" s="134"/>
      <c r="P439" s="94" t="str">
        <f>IFERROR(VLOOKUP(TRIM(O439), Collection!$B$2:$D$1001, 2, FALSE), "")</f>
        <v/>
      </c>
      <c r="Q439" s="190" t="str">
        <f>IFERROR(VLOOKUP(TRIM(O439), Collection!$B$2:$D$1001, 3, FALSE), "")</f>
        <v/>
      </c>
      <c r="R439" s="153" t="str">
        <f t="shared" si="44"/>
        <v/>
      </c>
      <c r="S439" s="151"/>
      <c r="T439" s="158"/>
      <c r="U439" s="137"/>
      <c r="V439" s="137"/>
      <c r="W439" s="156" t="str">
        <f t="shared" si="48"/>
        <v/>
      </c>
      <c r="X439" s="157"/>
      <c r="Y439" s="158"/>
      <c r="Z439" s="158"/>
      <c r="AA439" s="137" t="str">
        <f t="shared" ca="1" si="49"/>
        <v/>
      </c>
      <c r="AB439" s="137" t="str">
        <f t="shared" ca="1" si="45"/>
        <v/>
      </c>
      <c r="AC439" s="160" t="str">
        <f t="shared" ca="1" si="46"/>
        <v/>
      </c>
      <c r="AD439" s="159" t="str">
        <f t="shared" ca="1" si="47"/>
        <v/>
      </c>
      <c r="AE439" s="161"/>
      <c r="AF439" s="161"/>
      <c r="AG439" s="161"/>
      <c r="AH439" s="137"/>
      <c r="AI439" s="164" t="str">
        <f t="shared" si="50"/>
        <v/>
      </c>
      <c r="AJ439" s="164" t="str">
        <f>IF(AND(OpenPendingCases[[#This Row],[Sale Status	]]="Open Sale",OpenPendingCases[[#This Row],[Potential Same Month]]="High"),TEXT(OpenPendingCases[[#This Row],[Request Entry Date]], "[$-en-us]mmmm"),"")</f>
        <v/>
      </c>
      <c r="AK439" s="165" t="str">
        <f>IFERROR(VALUE(SUBSTITUTE(OpenPendingCases[[#This Row],[Price]]," AED","")),"")</f>
        <v/>
      </c>
      <c r="AL439" s="165" t="str">
        <f>IFERROR(VALUE(LEFT(OpenPendingCases[[#This Row],[Price]],FIND(" ",OpenPendingCases[[#This Row],[Price]])-1)),"")</f>
        <v/>
      </c>
      <c r="AM439" s="165" t="str">
        <f>IFERROR(VALUE(_xlfn.TEXTBEFORE(OpenPendingCases[[#This Row],[Price]]," AED")),"")</f>
        <v/>
      </c>
      <c r="AN439" s="165"/>
    </row>
    <row r="440" spans="3:40" ht="18" hidden="1" x14ac:dyDescent="0.35">
      <c r="C440" s="134"/>
      <c r="D440" s="137" t="str">
        <f>IF($U440="Open Sale", IF(MAX($D$4:D439)+1=0, "", MAX($D$4:D439)+1), "")</f>
        <v/>
      </c>
      <c r="E440" s="137" t="str">
        <f>IF($U440="Pending Allocation", IF(MAX($E$4:E439)+1=0, "", MAX($E$4:E439)+1), "")</f>
        <v/>
      </c>
      <c r="F440" s="137"/>
      <c r="G440" s="137"/>
      <c r="H440" s="150"/>
      <c r="I440" s="150"/>
      <c r="J440" s="68" t="str">
        <f>IF(OpenPendingCases[[#This Row],[Timepiece Reference ]]="", "", IF(_xlfn.XLOOKUP(OpenPendingCases[[#This Row],[Timepiece Reference ]], Table1[[Timepiece Reference ]], Table1[CRC STOCK], "Not Found")="YES", "CRC Stock", "Boutique Stock"))</f>
        <v/>
      </c>
      <c r="K440" s="137" t="str">
        <f>IF(OpenPendingCases[[#This Row],[Timepiece Reference ]]="", "", IF(_xlfn.XLOOKUP(OpenPendingCases[[#This Row],[Timepiece Reference ]], Table1[[Timepiece Reference ]], Table1[CRC STOCK], "Not Found")="YES", "CRC Stock", "Boutique Stock"))</f>
        <v/>
      </c>
      <c r="L440" s="143"/>
      <c r="M440" s="141"/>
      <c r="N440" s="137"/>
      <c r="O440" s="134"/>
      <c r="P440" s="94" t="str">
        <f>IFERROR(VLOOKUP(TRIM(O440), Collection!$B$2:$D$1001, 2, FALSE), "")</f>
        <v/>
      </c>
      <c r="Q440" s="190" t="str">
        <f>IFERROR(VLOOKUP(TRIM(O440), Collection!$B$2:$D$1001, 3, FALSE), "")</f>
        <v/>
      </c>
      <c r="R440" s="153" t="str">
        <f t="shared" si="44"/>
        <v/>
      </c>
      <c r="S440" s="151"/>
      <c r="T440" s="158"/>
      <c r="U440" s="137"/>
      <c r="V440" s="137"/>
      <c r="W440" s="156" t="str">
        <f t="shared" si="48"/>
        <v/>
      </c>
      <c r="X440" s="157"/>
      <c r="Y440" s="158"/>
      <c r="Z440" s="158"/>
      <c r="AA440" s="137" t="str">
        <f t="shared" ca="1" si="49"/>
        <v/>
      </c>
      <c r="AB440" s="137" t="str">
        <f t="shared" ca="1" si="45"/>
        <v/>
      </c>
      <c r="AC440" s="160" t="str">
        <f t="shared" ca="1" si="46"/>
        <v/>
      </c>
      <c r="AD440" s="159" t="str">
        <f t="shared" ca="1" si="47"/>
        <v/>
      </c>
      <c r="AE440" s="161"/>
      <c r="AF440" s="161"/>
      <c r="AG440" s="161"/>
      <c r="AH440" s="137"/>
      <c r="AI440" s="164" t="str">
        <f t="shared" si="50"/>
        <v/>
      </c>
      <c r="AJ440" s="164" t="str">
        <f>IF(AND(OpenPendingCases[[#This Row],[Sale Status	]]="Open Sale",OpenPendingCases[[#This Row],[Potential Same Month]]="High"),TEXT(OpenPendingCases[[#This Row],[Request Entry Date]], "[$-en-us]mmmm"),"")</f>
        <v/>
      </c>
      <c r="AK440" s="165" t="str">
        <f>IFERROR(VALUE(SUBSTITUTE(OpenPendingCases[[#This Row],[Price]]," AED","")),"")</f>
        <v/>
      </c>
      <c r="AL440" s="165" t="str">
        <f>IFERROR(VALUE(LEFT(OpenPendingCases[[#This Row],[Price]],FIND(" ",OpenPendingCases[[#This Row],[Price]])-1)),"")</f>
        <v/>
      </c>
      <c r="AM440" s="165" t="str">
        <f>IFERROR(VALUE(_xlfn.TEXTBEFORE(OpenPendingCases[[#This Row],[Price]]," AED")),"")</f>
        <v/>
      </c>
      <c r="AN440" s="165"/>
    </row>
    <row r="441" spans="3:40" ht="18" hidden="1" x14ac:dyDescent="0.35">
      <c r="C441" s="134"/>
      <c r="D441" s="137" t="str">
        <f>IF($U441="Open Sale", IF(MAX($D$4:D440)+1=0, "", MAX($D$4:D440)+1), "")</f>
        <v/>
      </c>
      <c r="E441" s="137" t="str">
        <f>IF($U441="Pending Allocation", IF(MAX($E$4:E440)+1=0, "", MAX($E$4:E440)+1), "")</f>
        <v/>
      </c>
      <c r="F441" s="137"/>
      <c r="G441" s="137"/>
      <c r="H441" s="150"/>
      <c r="I441" s="150"/>
      <c r="J441" s="68" t="str">
        <f>IF(OpenPendingCases[[#This Row],[Timepiece Reference ]]="", "", IF(_xlfn.XLOOKUP(OpenPendingCases[[#This Row],[Timepiece Reference ]], Table1[[Timepiece Reference ]], Table1[CRC STOCK], "Not Found")="YES", "CRC Stock", "Boutique Stock"))</f>
        <v/>
      </c>
      <c r="K441" s="137" t="str">
        <f>IF(OpenPendingCases[[#This Row],[Timepiece Reference ]]="", "", IF(_xlfn.XLOOKUP(OpenPendingCases[[#This Row],[Timepiece Reference ]], Table1[[Timepiece Reference ]], Table1[CRC STOCK], "Not Found")="YES", "CRC Stock", "Boutique Stock"))</f>
        <v/>
      </c>
      <c r="L441" s="143"/>
      <c r="M441" s="141"/>
      <c r="N441" s="137"/>
      <c r="O441" s="134"/>
      <c r="P441" s="94" t="str">
        <f>IFERROR(VLOOKUP(TRIM(O441), Collection!$B$2:$D$1001, 2, FALSE), "")</f>
        <v/>
      </c>
      <c r="Q441" s="190" t="str">
        <f>IFERROR(VLOOKUP(TRIM(O441), Collection!$B$2:$D$1001, 3, FALSE), "")</f>
        <v/>
      </c>
      <c r="R441" s="153" t="str">
        <f t="shared" si="44"/>
        <v/>
      </c>
      <c r="S441" s="151"/>
      <c r="T441" s="158"/>
      <c r="U441" s="137"/>
      <c r="V441" s="137"/>
      <c r="W441" s="156" t="str">
        <f t="shared" si="48"/>
        <v/>
      </c>
      <c r="X441" s="157"/>
      <c r="Y441" s="158"/>
      <c r="Z441" s="158"/>
      <c r="AA441" s="137" t="str">
        <f t="shared" ca="1" si="49"/>
        <v/>
      </c>
      <c r="AB441" s="137" t="str">
        <f t="shared" ca="1" si="45"/>
        <v/>
      </c>
      <c r="AC441" s="160" t="str">
        <f t="shared" ca="1" si="46"/>
        <v/>
      </c>
      <c r="AD441" s="159" t="str">
        <f t="shared" ca="1" si="47"/>
        <v/>
      </c>
      <c r="AE441" s="161"/>
      <c r="AF441" s="161"/>
      <c r="AG441" s="161"/>
      <c r="AH441" s="137"/>
      <c r="AI441" s="164" t="str">
        <f t="shared" si="50"/>
        <v/>
      </c>
      <c r="AJ441" s="164" t="str">
        <f>IF(AND(OpenPendingCases[[#This Row],[Sale Status	]]="Open Sale",OpenPendingCases[[#This Row],[Potential Same Month]]="High"),TEXT(OpenPendingCases[[#This Row],[Request Entry Date]], "[$-en-us]mmmm"),"")</f>
        <v/>
      </c>
      <c r="AK441" s="165" t="str">
        <f>IFERROR(VALUE(SUBSTITUTE(OpenPendingCases[[#This Row],[Price]]," AED","")),"")</f>
        <v/>
      </c>
      <c r="AL441" s="165" t="str">
        <f>IFERROR(VALUE(LEFT(OpenPendingCases[[#This Row],[Price]],FIND(" ",OpenPendingCases[[#This Row],[Price]])-1)),"")</f>
        <v/>
      </c>
      <c r="AM441" s="165" t="str">
        <f>IFERROR(VALUE(_xlfn.TEXTBEFORE(OpenPendingCases[[#This Row],[Price]]," AED")),"")</f>
        <v/>
      </c>
      <c r="AN441" s="165"/>
    </row>
    <row r="442" spans="3:40" ht="18" hidden="1" x14ac:dyDescent="0.35">
      <c r="C442" s="134"/>
      <c r="D442" s="137" t="str">
        <f>IF($U442="Open Sale", IF(MAX($D$4:D441)+1=0, "", MAX($D$4:D441)+1), "")</f>
        <v/>
      </c>
      <c r="E442" s="137" t="str">
        <f>IF($U442="Pending Allocation", IF(MAX($E$4:E441)+1=0, "", MAX($E$4:E441)+1), "")</f>
        <v/>
      </c>
      <c r="F442" s="137"/>
      <c r="G442" s="137"/>
      <c r="H442" s="150"/>
      <c r="I442" s="150"/>
      <c r="J442" s="68" t="str">
        <f>IF(OpenPendingCases[[#This Row],[Timepiece Reference ]]="", "", IF(_xlfn.XLOOKUP(OpenPendingCases[[#This Row],[Timepiece Reference ]], Table1[[Timepiece Reference ]], Table1[CRC STOCK], "Not Found")="YES", "CRC Stock", "Boutique Stock"))</f>
        <v/>
      </c>
      <c r="K442" s="137" t="str">
        <f>IF(OpenPendingCases[[#This Row],[Timepiece Reference ]]="", "", IF(_xlfn.XLOOKUP(OpenPendingCases[[#This Row],[Timepiece Reference ]], Table1[[Timepiece Reference ]], Table1[CRC STOCK], "Not Found")="YES", "CRC Stock", "Boutique Stock"))</f>
        <v/>
      </c>
      <c r="L442" s="143"/>
      <c r="M442" s="141"/>
      <c r="N442" s="137"/>
      <c r="O442" s="134"/>
      <c r="P442" s="94" t="str">
        <f>IFERROR(VLOOKUP(TRIM(O442), Collection!$B$2:$D$1001, 2, FALSE), "")</f>
        <v/>
      </c>
      <c r="Q442" s="190" t="str">
        <f>IFERROR(VLOOKUP(TRIM(O442), Collection!$B$2:$D$1001, 3, FALSE), "")</f>
        <v/>
      </c>
      <c r="R442" s="153" t="str">
        <f t="shared" si="44"/>
        <v/>
      </c>
      <c r="S442" s="151"/>
      <c r="T442" s="158"/>
      <c r="U442" s="137"/>
      <c r="V442" s="137"/>
      <c r="W442" s="156" t="str">
        <f t="shared" si="48"/>
        <v/>
      </c>
      <c r="X442" s="157"/>
      <c r="Y442" s="158"/>
      <c r="Z442" s="158"/>
      <c r="AA442" s="137" t="str">
        <f t="shared" ca="1" si="49"/>
        <v/>
      </c>
      <c r="AB442" s="137" t="str">
        <f t="shared" ca="1" si="45"/>
        <v/>
      </c>
      <c r="AC442" s="160" t="str">
        <f t="shared" ca="1" si="46"/>
        <v/>
      </c>
      <c r="AD442" s="159" t="str">
        <f t="shared" ca="1" si="47"/>
        <v/>
      </c>
      <c r="AE442" s="161"/>
      <c r="AF442" s="161"/>
      <c r="AG442" s="161"/>
      <c r="AH442" s="137"/>
      <c r="AI442" s="164" t="str">
        <f t="shared" si="50"/>
        <v/>
      </c>
      <c r="AJ442" s="164" t="str">
        <f>IF(AND(OpenPendingCases[[#This Row],[Sale Status	]]="Open Sale",OpenPendingCases[[#This Row],[Potential Same Month]]="High"),TEXT(OpenPendingCases[[#This Row],[Request Entry Date]], "[$-en-us]mmmm"),"")</f>
        <v/>
      </c>
      <c r="AK442" s="165" t="str">
        <f>IFERROR(VALUE(SUBSTITUTE(OpenPendingCases[[#This Row],[Price]]," AED","")),"")</f>
        <v/>
      </c>
      <c r="AL442" s="165" t="str">
        <f>IFERROR(VALUE(LEFT(OpenPendingCases[[#This Row],[Price]],FIND(" ",OpenPendingCases[[#This Row],[Price]])-1)),"")</f>
        <v/>
      </c>
      <c r="AM442" s="165" t="str">
        <f>IFERROR(VALUE(_xlfn.TEXTBEFORE(OpenPendingCases[[#This Row],[Price]]," AED")),"")</f>
        <v/>
      </c>
      <c r="AN442" s="165"/>
    </row>
    <row r="443" spans="3:40" ht="18" hidden="1" x14ac:dyDescent="0.35">
      <c r="C443" s="134"/>
      <c r="D443" s="137" t="str">
        <f>IF($U443="Open Sale", IF(MAX($D$4:D442)+1=0, "", MAX($D$4:D442)+1), "")</f>
        <v/>
      </c>
      <c r="E443" s="137" t="str">
        <f>IF($U443="Pending Allocation", IF(MAX($E$4:E442)+1=0, "", MAX($E$4:E442)+1), "")</f>
        <v/>
      </c>
      <c r="F443" s="137"/>
      <c r="G443" s="137"/>
      <c r="H443" s="150"/>
      <c r="I443" s="150"/>
      <c r="J443" s="68" t="str">
        <f>IF(OpenPendingCases[[#This Row],[Timepiece Reference ]]="", "", IF(_xlfn.XLOOKUP(OpenPendingCases[[#This Row],[Timepiece Reference ]], Table1[[Timepiece Reference ]], Table1[CRC STOCK], "Not Found")="YES", "CRC Stock", "Boutique Stock"))</f>
        <v/>
      </c>
      <c r="K443" s="137" t="str">
        <f>IF(OpenPendingCases[[#This Row],[Timepiece Reference ]]="", "", IF(_xlfn.XLOOKUP(OpenPendingCases[[#This Row],[Timepiece Reference ]], Table1[[Timepiece Reference ]], Table1[CRC STOCK], "Not Found")="YES", "CRC Stock", "Boutique Stock"))</f>
        <v/>
      </c>
      <c r="L443" s="143"/>
      <c r="M443" s="141"/>
      <c r="N443" s="137"/>
      <c r="O443" s="134"/>
      <c r="P443" s="94" t="str">
        <f>IFERROR(VLOOKUP(TRIM(O443), Collection!$B$2:$D$1001, 2, FALSE), "")</f>
        <v/>
      </c>
      <c r="Q443" s="190" t="str">
        <f>IFERROR(VLOOKUP(TRIM(O443), Collection!$B$2:$D$1001, 3, FALSE), "")</f>
        <v/>
      </c>
      <c r="R443" s="153" t="str">
        <f t="shared" si="44"/>
        <v/>
      </c>
      <c r="S443" s="151"/>
      <c r="T443" s="158"/>
      <c r="U443" s="137"/>
      <c r="V443" s="137"/>
      <c r="W443" s="156" t="str">
        <f t="shared" si="48"/>
        <v/>
      </c>
      <c r="X443" s="157"/>
      <c r="Y443" s="158"/>
      <c r="Z443" s="158"/>
      <c r="AA443" s="137" t="str">
        <f t="shared" ca="1" si="49"/>
        <v/>
      </c>
      <c r="AB443" s="137" t="str">
        <f t="shared" ca="1" si="45"/>
        <v/>
      </c>
      <c r="AC443" s="160" t="str">
        <f t="shared" ca="1" si="46"/>
        <v/>
      </c>
      <c r="AD443" s="159" t="str">
        <f t="shared" ca="1" si="47"/>
        <v/>
      </c>
      <c r="AE443" s="161"/>
      <c r="AF443" s="161"/>
      <c r="AG443" s="161"/>
      <c r="AH443" s="137"/>
      <c r="AI443" s="164" t="str">
        <f t="shared" si="50"/>
        <v/>
      </c>
      <c r="AJ443" s="164" t="str">
        <f>IF(AND(OpenPendingCases[[#This Row],[Sale Status	]]="Open Sale",OpenPendingCases[[#This Row],[Potential Same Month]]="High"),TEXT(OpenPendingCases[[#This Row],[Request Entry Date]], "[$-en-us]mmmm"),"")</f>
        <v/>
      </c>
      <c r="AK443" s="165" t="str">
        <f>IFERROR(VALUE(SUBSTITUTE(OpenPendingCases[[#This Row],[Price]]," AED","")),"")</f>
        <v/>
      </c>
      <c r="AL443" s="165" t="str">
        <f>IFERROR(VALUE(LEFT(OpenPendingCases[[#This Row],[Price]],FIND(" ",OpenPendingCases[[#This Row],[Price]])-1)),"")</f>
        <v/>
      </c>
      <c r="AM443" s="165" t="str">
        <f>IFERROR(VALUE(_xlfn.TEXTBEFORE(OpenPendingCases[[#This Row],[Price]]," AED")),"")</f>
        <v/>
      </c>
      <c r="AN443" s="165"/>
    </row>
    <row r="444" spans="3:40" ht="18" hidden="1" x14ac:dyDescent="0.35">
      <c r="C444" s="134"/>
      <c r="D444" s="137" t="str">
        <f>IF($U444="Open Sale", IF(MAX($D$4:D443)+1=0, "", MAX($D$4:D443)+1), "")</f>
        <v/>
      </c>
      <c r="E444" s="137" t="str">
        <f>IF($U444="Pending Allocation", IF(MAX($E$4:E443)+1=0, "", MAX($E$4:E443)+1), "")</f>
        <v/>
      </c>
      <c r="F444" s="137"/>
      <c r="G444" s="137"/>
      <c r="H444" s="150"/>
      <c r="I444" s="150"/>
      <c r="J444" s="68" t="str">
        <f>IF(OpenPendingCases[[#This Row],[Timepiece Reference ]]="", "", IF(_xlfn.XLOOKUP(OpenPendingCases[[#This Row],[Timepiece Reference ]], Table1[[Timepiece Reference ]], Table1[CRC STOCK], "Not Found")="YES", "CRC Stock", "Boutique Stock"))</f>
        <v/>
      </c>
      <c r="K444" s="137" t="str">
        <f>IF(OpenPendingCases[[#This Row],[Timepiece Reference ]]="", "", IF(_xlfn.XLOOKUP(OpenPendingCases[[#This Row],[Timepiece Reference ]], Table1[[Timepiece Reference ]], Table1[CRC STOCK], "Not Found")="YES", "CRC Stock", "Boutique Stock"))</f>
        <v/>
      </c>
      <c r="L444" s="143"/>
      <c r="M444" s="141"/>
      <c r="N444" s="137"/>
      <c r="O444" s="134"/>
      <c r="P444" s="94" t="str">
        <f>IFERROR(VLOOKUP(TRIM(O444), Collection!$B$2:$D$1001, 2, FALSE), "")</f>
        <v/>
      </c>
      <c r="Q444" s="190" t="str">
        <f>IFERROR(VLOOKUP(TRIM(O444), Collection!$B$2:$D$1001, 3, FALSE), "")</f>
        <v/>
      </c>
      <c r="R444" s="153" t="str">
        <f t="shared" si="44"/>
        <v/>
      </c>
      <c r="S444" s="151"/>
      <c r="T444" s="158"/>
      <c r="U444" s="137"/>
      <c r="V444" s="137"/>
      <c r="W444" s="156" t="str">
        <f t="shared" si="48"/>
        <v/>
      </c>
      <c r="X444" s="157"/>
      <c r="Y444" s="158"/>
      <c r="Z444" s="158"/>
      <c r="AA444" s="137" t="str">
        <f t="shared" ca="1" si="49"/>
        <v/>
      </c>
      <c r="AB444" s="137" t="str">
        <f t="shared" ca="1" si="45"/>
        <v/>
      </c>
      <c r="AC444" s="160" t="str">
        <f t="shared" ca="1" si="46"/>
        <v/>
      </c>
      <c r="AD444" s="159" t="str">
        <f t="shared" ca="1" si="47"/>
        <v/>
      </c>
      <c r="AE444" s="161"/>
      <c r="AF444" s="161"/>
      <c r="AG444" s="161"/>
      <c r="AH444" s="137"/>
      <c r="AI444" s="164" t="str">
        <f t="shared" si="50"/>
        <v/>
      </c>
      <c r="AJ444" s="164" t="str">
        <f>IF(AND(OpenPendingCases[[#This Row],[Sale Status	]]="Open Sale",OpenPendingCases[[#This Row],[Potential Same Month]]="High"),TEXT(OpenPendingCases[[#This Row],[Request Entry Date]], "[$-en-us]mmmm"),"")</f>
        <v/>
      </c>
      <c r="AK444" s="165" t="str">
        <f>IFERROR(VALUE(SUBSTITUTE(OpenPendingCases[[#This Row],[Price]]," AED","")),"")</f>
        <v/>
      </c>
      <c r="AL444" s="165" t="str">
        <f>IFERROR(VALUE(LEFT(OpenPendingCases[[#This Row],[Price]],FIND(" ",OpenPendingCases[[#This Row],[Price]])-1)),"")</f>
        <v/>
      </c>
      <c r="AM444" s="165" t="str">
        <f>IFERROR(VALUE(_xlfn.TEXTBEFORE(OpenPendingCases[[#This Row],[Price]]," AED")),"")</f>
        <v/>
      </c>
      <c r="AN444" s="165"/>
    </row>
    <row r="445" spans="3:40" ht="18" hidden="1" x14ac:dyDescent="0.35">
      <c r="C445" s="134"/>
      <c r="D445" s="137" t="str">
        <f>IF($U445="Open Sale", IF(MAX($D$4:D444)+1=0, "", MAX($D$4:D444)+1), "")</f>
        <v/>
      </c>
      <c r="E445" s="137" t="str">
        <f>IF($U445="Pending Allocation", IF(MAX($E$4:E444)+1=0, "", MAX($E$4:E444)+1), "")</f>
        <v/>
      </c>
      <c r="F445" s="137"/>
      <c r="G445" s="137"/>
      <c r="H445" s="150"/>
      <c r="I445" s="150"/>
      <c r="J445" s="68" t="str">
        <f>IF(OpenPendingCases[[#This Row],[Timepiece Reference ]]="", "", IF(_xlfn.XLOOKUP(OpenPendingCases[[#This Row],[Timepiece Reference ]], Table1[[Timepiece Reference ]], Table1[CRC STOCK], "Not Found")="YES", "CRC Stock", "Boutique Stock"))</f>
        <v/>
      </c>
      <c r="K445" s="137" t="str">
        <f>IF(OpenPendingCases[[#This Row],[Timepiece Reference ]]="", "", IF(_xlfn.XLOOKUP(OpenPendingCases[[#This Row],[Timepiece Reference ]], Table1[[Timepiece Reference ]], Table1[CRC STOCK], "Not Found")="YES", "CRC Stock", "Boutique Stock"))</f>
        <v/>
      </c>
      <c r="L445" s="143"/>
      <c r="M445" s="141"/>
      <c r="N445" s="137"/>
      <c r="O445" s="134"/>
      <c r="P445" s="94" t="str">
        <f>IFERROR(VLOOKUP(TRIM(O445), Collection!$B$2:$D$1001, 2, FALSE), "")</f>
        <v/>
      </c>
      <c r="Q445" s="190" t="str">
        <f>IFERROR(VLOOKUP(TRIM(O445), Collection!$B$2:$D$1001, 3, FALSE), "")</f>
        <v/>
      </c>
      <c r="R445" s="153" t="str">
        <f t="shared" si="44"/>
        <v/>
      </c>
      <c r="S445" s="151"/>
      <c r="T445" s="158"/>
      <c r="U445" s="137"/>
      <c r="V445" s="137"/>
      <c r="W445" s="156" t="str">
        <f t="shared" si="48"/>
        <v/>
      </c>
      <c r="X445" s="157"/>
      <c r="Y445" s="158"/>
      <c r="Z445" s="158"/>
      <c r="AA445" s="137" t="str">
        <f t="shared" ca="1" si="49"/>
        <v/>
      </c>
      <c r="AB445" s="137" t="str">
        <f t="shared" ca="1" si="45"/>
        <v/>
      </c>
      <c r="AC445" s="160" t="str">
        <f t="shared" ca="1" si="46"/>
        <v/>
      </c>
      <c r="AD445" s="159" t="str">
        <f t="shared" ca="1" si="47"/>
        <v/>
      </c>
      <c r="AE445" s="161"/>
      <c r="AF445" s="161"/>
      <c r="AG445" s="161"/>
      <c r="AH445" s="137"/>
      <c r="AI445" s="164" t="str">
        <f t="shared" si="50"/>
        <v/>
      </c>
      <c r="AJ445" s="164" t="str">
        <f>IF(AND(OpenPendingCases[[#This Row],[Sale Status	]]="Open Sale",OpenPendingCases[[#This Row],[Potential Same Month]]="High"),TEXT(OpenPendingCases[[#This Row],[Request Entry Date]], "[$-en-us]mmmm"),"")</f>
        <v/>
      </c>
      <c r="AK445" s="165" t="str">
        <f>IFERROR(VALUE(SUBSTITUTE(OpenPendingCases[[#This Row],[Price]]," AED","")),"")</f>
        <v/>
      </c>
      <c r="AL445" s="165" t="str">
        <f>IFERROR(VALUE(LEFT(OpenPendingCases[[#This Row],[Price]],FIND(" ",OpenPendingCases[[#This Row],[Price]])-1)),"")</f>
        <v/>
      </c>
      <c r="AM445" s="165" t="str">
        <f>IFERROR(VALUE(_xlfn.TEXTBEFORE(OpenPendingCases[[#This Row],[Price]]," AED")),"")</f>
        <v/>
      </c>
      <c r="AN445" s="165"/>
    </row>
    <row r="446" spans="3:40" ht="18" hidden="1" x14ac:dyDescent="0.35">
      <c r="C446" s="134"/>
      <c r="D446" s="137" t="str">
        <f>IF($U446="Open Sale", IF(MAX($D$4:D445)+1=0, "", MAX($D$4:D445)+1), "")</f>
        <v/>
      </c>
      <c r="E446" s="137" t="str">
        <f>IF($U446="Pending Allocation", IF(MAX($E$4:E445)+1=0, "", MAX($E$4:E445)+1), "")</f>
        <v/>
      </c>
      <c r="F446" s="137"/>
      <c r="G446" s="137"/>
      <c r="H446" s="150"/>
      <c r="I446" s="150"/>
      <c r="J446" s="68" t="str">
        <f>IF(OpenPendingCases[[#This Row],[Timepiece Reference ]]="", "", IF(_xlfn.XLOOKUP(OpenPendingCases[[#This Row],[Timepiece Reference ]], Table1[[Timepiece Reference ]], Table1[CRC STOCK], "Not Found")="YES", "CRC Stock", "Boutique Stock"))</f>
        <v/>
      </c>
      <c r="K446" s="137" t="str">
        <f>IF(OpenPendingCases[[#This Row],[Timepiece Reference ]]="", "", IF(_xlfn.XLOOKUP(OpenPendingCases[[#This Row],[Timepiece Reference ]], Table1[[Timepiece Reference ]], Table1[CRC STOCK], "Not Found")="YES", "CRC Stock", "Boutique Stock"))</f>
        <v/>
      </c>
      <c r="L446" s="143"/>
      <c r="M446" s="141"/>
      <c r="N446" s="137"/>
      <c r="O446" s="134"/>
      <c r="P446" s="94" t="str">
        <f>IFERROR(VLOOKUP(TRIM(O446), Collection!$B$2:$D$1001, 2, FALSE), "")</f>
        <v/>
      </c>
      <c r="Q446" s="190" t="str">
        <f>IFERROR(VLOOKUP(TRIM(O446), Collection!$B$2:$D$1001, 3, FALSE), "")</f>
        <v/>
      </c>
      <c r="R446" s="153" t="str">
        <f t="shared" si="44"/>
        <v/>
      </c>
      <c r="S446" s="151"/>
      <c r="T446" s="158"/>
      <c r="U446" s="137"/>
      <c r="V446" s="137"/>
      <c r="W446" s="156" t="str">
        <f t="shared" si="48"/>
        <v/>
      </c>
      <c r="X446" s="157"/>
      <c r="Y446" s="158"/>
      <c r="Z446" s="158"/>
      <c r="AA446" s="137" t="str">
        <f t="shared" ca="1" si="49"/>
        <v/>
      </c>
      <c r="AB446" s="137" t="str">
        <f t="shared" ca="1" si="45"/>
        <v/>
      </c>
      <c r="AC446" s="160" t="str">
        <f t="shared" ca="1" si="46"/>
        <v/>
      </c>
      <c r="AD446" s="159" t="str">
        <f t="shared" ca="1" si="47"/>
        <v/>
      </c>
      <c r="AE446" s="161"/>
      <c r="AF446" s="161"/>
      <c r="AG446" s="161"/>
      <c r="AH446" s="137"/>
      <c r="AI446" s="164" t="str">
        <f t="shared" si="50"/>
        <v/>
      </c>
      <c r="AJ446" s="164" t="str">
        <f>IF(AND(OpenPendingCases[[#This Row],[Sale Status	]]="Open Sale",OpenPendingCases[[#This Row],[Potential Same Month]]="High"),TEXT(OpenPendingCases[[#This Row],[Request Entry Date]], "[$-en-us]mmmm"),"")</f>
        <v/>
      </c>
      <c r="AK446" s="165" t="str">
        <f>IFERROR(VALUE(SUBSTITUTE(OpenPendingCases[[#This Row],[Price]]," AED","")),"")</f>
        <v/>
      </c>
      <c r="AL446" s="165" t="str">
        <f>IFERROR(VALUE(LEFT(OpenPendingCases[[#This Row],[Price]],FIND(" ",OpenPendingCases[[#This Row],[Price]])-1)),"")</f>
        <v/>
      </c>
      <c r="AM446" s="165" t="str">
        <f>IFERROR(VALUE(_xlfn.TEXTBEFORE(OpenPendingCases[[#This Row],[Price]]," AED")),"")</f>
        <v/>
      </c>
      <c r="AN446" s="165"/>
    </row>
    <row r="447" spans="3:40" ht="18" hidden="1" x14ac:dyDescent="0.35">
      <c r="C447" s="134"/>
      <c r="D447" s="137" t="str">
        <f>IF($U447="Open Sale", IF(MAX($D$4:D446)+1=0, "", MAX($D$4:D446)+1), "")</f>
        <v/>
      </c>
      <c r="E447" s="137" t="str">
        <f>IF($U447="Pending Allocation", IF(MAX($E$4:E446)+1=0, "", MAX($E$4:E446)+1), "")</f>
        <v/>
      </c>
      <c r="F447" s="137"/>
      <c r="G447" s="137"/>
      <c r="H447" s="150"/>
      <c r="I447" s="150"/>
      <c r="J447" s="68" t="str">
        <f>IF(OpenPendingCases[[#This Row],[Timepiece Reference ]]="", "", IF(_xlfn.XLOOKUP(OpenPendingCases[[#This Row],[Timepiece Reference ]], Table1[[Timepiece Reference ]], Table1[CRC STOCK], "Not Found")="YES", "CRC Stock", "Boutique Stock"))</f>
        <v/>
      </c>
      <c r="K447" s="137" t="str">
        <f>IF(OpenPendingCases[[#This Row],[Timepiece Reference ]]="", "", IF(_xlfn.XLOOKUP(OpenPendingCases[[#This Row],[Timepiece Reference ]], Table1[[Timepiece Reference ]], Table1[CRC STOCK], "Not Found")="YES", "CRC Stock", "Boutique Stock"))</f>
        <v/>
      </c>
      <c r="L447" s="143"/>
      <c r="M447" s="141"/>
      <c r="N447" s="137"/>
      <c r="O447" s="134"/>
      <c r="P447" s="94" t="str">
        <f>IFERROR(VLOOKUP(TRIM(O447), Collection!$B$2:$D$1001, 2, FALSE), "")</f>
        <v/>
      </c>
      <c r="Q447" s="190" t="str">
        <f>IFERROR(VLOOKUP(TRIM(O447), Collection!$B$2:$D$1001, 3, FALSE), "")</f>
        <v/>
      </c>
      <c r="R447" s="153" t="str">
        <f t="shared" si="44"/>
        <v/>
      </c>
      <c r="S447" s="151"/>
      <c r="T447" s="158"/>
      <c r="U447" s="137"/>
      <c r="V447" s="137"/>
      <c r="W447" s="156" t="str">
        <f t="shared" si="48"/>
        <v/>
      </c>
      <c r="X447" s="157"/>
      <c r="Y447" s="158"/>
      <c r="Z447" s="158"/>
      <c r="AA447" s="137" t="str">
        <f t="shared" ca="1" si="49"/>
        <v/>
      </c>
      <c r="AB447" s="137" t="str">
        <f t="shared" ca="1" si="45"/>
        <v/>
      </c>
      <c r="AC447" s="160" t="str">
        <f t="shared" ca="1" si="46"/>
        <v/>
      </c>
      <c r="AD447" s="159" t="str">
        <f t="shared" ca="1" si="47"/>
        <v/>
      </c>
      <c r="AE447" s="161"/>
      <c r="AF447" s="161"/>
      <c r="AG447" s="161"/>
      <c r="AH447" s="137"/>
      <c r="AI447" s="164" t="str">
        <f t="shared" si="50"/>
        <v/>
      </c>
      <c r="AJ447" s="164" t="str">
        <f>IF(AND(OpenPendingCases[[#This Row],[Sale Status	]]="Open Sale",OpenPendingCases[[#This Row],[Potential Same Month]]="High"),TEXT(OpenPendingCases[[#This Row],[Request Entry Date]], "[$-en-us]mmmm"),"")</f>
        <v/>
      </c>
      <c r="AK447" s="165" t="str">
        <f>IFERROR(VALUE(SUBSTITUTE(OpenPendingCases[[#This Row],[Price]]," AED","")),"")</f>
        <v/>
      </c>
      <c r="AL447" s="165" t="str">
        <f>IFERROR(VALUE(LEFT(OpenPendingCases[[#This Row],[Price]],FIND(" ",OpenPendingCases[[#This Row],[Price]])-1)),"")</f>
        <v/>
      </c>
      <c r="AM447" s="165" t="str">
        <f>IFERROR(VALUE(_xlfn.TEXTBEFORE(OpenPendingCases[[#This Row],[Price]]," AED")),"")</f>
        <v/>
      </c>
      <c r="AN447" s="165"/>
    </row>
    <row r="448" spans="3:40" ht="18" hidden="1" x14ac:dyDescent="0.35">
      <c r="C448" s="134"/>
      <c r="D448" s="137" t="str">
        <f>IF($U448="Open Sale", IF(MAX($D$4:D447)+1=0, "", MAX($D$4:D447)+1), "")</f>
        <v/>
      </c>
      <c r="E448" s="137" t="str">
        <f>IF($U448="Pending Allocation", IF(MAX($E$4:E447)+1=0, "", MAX($E$4:E447)+1), "")</f>
        <v/>
      </c>
      <c r="F448" s="137"/>
      <c r="G448" s="137"/>
      <c r="H448" s="150"/>
      <c r="I448" s="150"/>
      <c r="J448" s="68" t="str">
        <f>IF(OpenPendingCases[[#This Row],[Timepiece Reference ]]="", "", IF(_xlfn.XLOOKUP(OpenPendingCases[[#This Row],[Timepiece Reference ]], Table1[[Timepiece Reference ]], Table1[CRC STOCK], "Not Found")="YES", "CRC Stock", "Boutique Stock"))</f>
        <v/>
      </c>
      <c r="K448" s="137" t="str">
        <f>IF(OpenPendingCases[[#This Row],[Timepiece Reference ]]="", "", IF(_xlfn.XLOOKUP(OpenPendingCases[[#This Row],[Timepiece Reference ]], Table1[[Timepiece Reference ]], Table1[CRC STOCK], "Not Found")="YES", "CRC Stock", "Boutique Stock"))</f>
        <v/>
      </c>
      <c r="L448" s="143"/>
      <c r="M448" s="141"/>
      <c r="N448" s="137"/>
      <c r="O448" s="134"/>
      <c r="P448" s="94" t="str">
        <f>IFERROR(VLOOKUP(TRIM(O448), Collection!$B$2:$D$1001, 2, FALSE), "")</f>
        <v/>
      </c>
      <c r="Q448" s="190" t="str">
        <f>IFERROR(VLOOKUP(TRIM(O448), Collection!$B$2:$D$1001, 3, FALSE), "")</f>
        <v/>
      </c>
      <c r="R448" s="153" t="str">
        <f t="shared" si="44"/>
        <v/>
      </c>
      <c r="S448" s="151"/>
      <c r="T448" s="158"/>
      <c r="U448" s="137"/>
      <c r="V448" s="137"/>
      <c r="W448" s="156" t="str">
        <f t="shared" si="48"/>
        <v/>
      </c>
      <c r="X448" s="157"/>
      <c r="Y448" s="158"/>
      <c r="Z448" s="158"/>
      <c r="AA448" s="137" t="str">
        <f t="shared" ca="1" si="49"/>
        <v/>
      </c>
      <c r="AB448" s="137" t="str">
        <f t="shared" ca="1" si="45"/>
        <v/>
      </c>
      <c r="AC448" s="160" t="str">
        <f t="shared" ca="1" si="46"/>
        <v/>
      </c>
      <c r="AD448" s="159" t="str">
        <f t="shared" ca="1" si="47"/>
        <v/>
      </c>
      <c r="AE448" s="161"/>
      <c r="AF448" s="161"/>
      <c r="AG448" s="161"/>
      <c r="AH448" s="137"/>
      <c r="AI448" s="164" t="str">
        <f t="shared" si="50"/>
        <v/>
      </c>
      <c r="AJ448" s="164" t="str">
        <f>IF(AND(OpenPendingCases[[#This Row],[Sale Status	]]="Open Sale",OpenPendingCases[[#This Row],[Potential Same Month]]="High"),TEXT(OpenPendingCases[[#This Row],[Request Entry Date]], "[$-en-us]mmmm"),"")</f>
        <v/>
      </c>
      <c r="AK448" s="165" t="str">
        <f>IFERROR(VALUE(SUBSTITUTE(OpenPendingCases[[#This Row],[Price]]," AED","")),"")</f>
        <v/>
      </c>
      <c r="AL448" s="165" t="str">
        <f>IFERROR(VALUE(LEFT(OpenPendingCases[[#This Row],[Price]],FIND(" ",OpenPendingCases[[#This Row],[Price]])-1)),"")</f>
        <v/>
      </c>
      <c r="AM448" s="165" t="str">
        <f>IFERROR(VALUE(_xlfn.TEXTBEFORE(OpenPendingCases[[#This Row],[Price]]," AED")),"")</f>
        <v/>
      </c>
      <c r="AN448" s="165"/>
    </row>
    <row r="449" spans="3:40" ht="18" hidden="1" x14ac:dyDescent="0.35">
      <c r="C449" s="134"/>
      <c r="D449" s="137" t="str">
        <f>IF($U449="Open Sale", IF(MAX($D$4:D448)+1=0, "", MAX($D$4:D448)+1), "")</f>
        <v/>
      </c>
      <c r="E449" s="137" t="str">
        <f>IF($U449="Pending Allocation", IF(MAX($E$4:E448)+1=0, "", MAX($E$4:E448)+1), "")</f>
        <v/>
      </c>
      <c r="F449" s="137"/>
      <c r="G449" s="137"/>
      <c r="H449" s="150"/>
      <c r="I449" s="150"/>
      <c r="J449" s="68" t="str">
        <f>IF(OpenPendingCases[[#This Row],[Timepiece Reference ]]="", "", IF(_xlfn.XLOOKUP(OpenPendingCases[[#This Row],[Timepiece Reference ]], Table1[[Timepiece Reference ]], Table1[CRC STOCK], "Not Found")="YES", "CRC Stock", "Boutique Stock"))</f>
        <v/>
      </c>
      <c r="K449" s="137" t="str">
        <f>IF(OpenPendingCases[[#This Row],[Timepiece Reference ]]="", "", IF(_xlfn.XLOOKUP(OpenPendingCases[[#This Row],[Timepiece Reference ]], Table1[[Timepiece Reference ]], Table1[CRC STOCK], "Not Found")="YES", "CRC Stock", "Boutique Stock"))</f>
        <v/>
      </c>
      <c r="L449" s="143"/>
      <c r="M449" s="141"/>
      <c r="N449" s="137"/>
      <c r="O449" s="134"/>
      <c r="P449" s="94" t="str">
        <f>IFERROR(VLOOKUP(TRIM(O449), Collection!$B$2:$D$1001, 2, FALSE), "")</f>
        <v/>
      </c>
      <c r="Q449" s="190" t="str">
        <f>IFERROR(VLOOKUP(TRIM(O449), Collection!$B$2:$D$1001, 3, FALSE), "")</f>
        <v/>
      </c>
      <c r="R449" s="153" t="str">
        <f t="shared" si="44"/>
        <v/>
      </c>
      <c r="S449" s="151"/>
      <c r="T449" s="158"/>
      <c r="U449" s="137"/>
      <c r="V449" s="137"/>
      <c r="W449" s="156" t="str">
        <f t="shared" si="48"/>
        <v/>
      </c>
      <c r="X449" s="157"/>
      <c r="Y449" s="158"/>
      <c r="Z449" s="158"/>
      <c r="AA449" s="137" t="str">
        <f t="shared" ca="1" si="49"/>
        <v/>
      </c>
      <c r="AB449" s="137" t="str">
        <f t="shared" ca="1" si="45"/>
        <v/>
      </c>
      <c r="AC449" s="160" t="str">
        <f t="shared" ca="1" si="46"/>
        <v/>
      </c>
      <c r="AD449" s="159" t="str">
        <f t="shared" ca="1" si="47"/>
        <v/>
      </c>
      <c r="AE449" s="161"/>
      <c r="AF449" s="161"/>
      <c r="AG449" s="161"/>
      <c r="AH449" s="137"/>
      <c r="AI449" s="164" t="str">
        <f t="shared" si="50"/>
        <v/>
      </c>
      <c r="AJ449" s="164" t="str">
        <f>IF(AND(OpenPendingCases[[#This Row],[Sale Status	]]="Open Sale",OpenPendingCases[[#This Row],[Potential Same Month]]="High"),TEXT(OpenPendingCases[[#This Row],[Request Entry Date]], "[$-en-us]mmmm"),"")</f>
        <v/>
      </c>
      <c r="AK449" s="165" t="str">
        <f>IFERROR(VALUE(SUBSTITUTE(OpenPendingCases[[#This Row],[Price]]," AED","")),"")</f>
        <v/>
      </c>
      <c r="AL449" s="165" t="str">
        <f>IFERROR(VALUE(LEFT(OpenPendingCases[[#This Row],[Price]],FIND(" ",OpenPendingCases[[#This Row],[Price]])-1)),"")</f>
        <v/>
      </c>
      <c r="AM449" s="165" t="str">
        <f>IFERROR(VALUE(_xlfn.TEXTBEFORE(OpenPendingCases[[#This Row],[Price]]," AED")),"")</f>
        <v/>
      </c>
      <c r="AN449" s="165"/>
    </row>
    <row r="450" spans="3:40" ht="18" hidden="1" x14ac:dyDescent="0.35">
      <c r="C450" s="134"/>
      <c r="D450" s="137" t="str">
        <f>IF($U450="Open Sale", IF(MAX($D$4:D449)+1=0, "", MAX($D$4:D449)+1), "")</f>
        <v/>
      </c>
      <c r="E450" s="137" t="str">
        <f>IF($U450="Pending Allocation", IF(MAX($E$4:E449)+1=0, "", MAX($E$4:E449)+1), "")</f>
        <v/>
      </c>
      <c r="F450" s="137"/>
      <c r="G450" s="137"/>
      <c r="H450" s="150"/>
      <c r="I450" s="150"/>
      <c r="J450" s="68" t="str">
        <f>IF(OpenPendingCases[[#This Row],[Timepiece Reference ]]="", "", IF(_xlfn.XLOOKUP(OpenPendingCases[[#This Row],[Timepiece Reference ]], Table1[[Timepiece Reference ]], Table1[CRC STOCK], "Not Found")="YES", "CRC Stock", "Boutique Stock"))</f>
        <v/>
      </c>
      <c r="K450" s="137" t="str">
        <f>IF(OpenPendingCases[[#This Row],[Timepiece Reference ]]="", "", IF(_xlfn.XLOOKUP(OpenPendingCases[[#This Row],[Timepiece Reference ]], Table1[[Timepiece Reference ]], Table1[CRC STOCK], "Not Found")="YES", "CRC Stock", "Boutique Stock"))</f>
        <v/>
      </c>
      <c r="L450" s="143"/>
      <c r="M450" s="141"/>
      <c r="N450" s="137"/>
      <c r="O450" s="134"/>
      <c r="P450" s="94" t="str">
        <f>IFERROR(VLOOKUP(TRIM(O450), Collection!$B$2:$D$1001, 2, FALSE), "")</f>
        <v/>
      </c>
      <c r="Q450" s="190" t="str">
        <f>IFERROR(VLOOKUP(TRIM(O450), Collection!$B$2:$D$1001, 3, FALSE), "")</f>
        <v/>
      </c>
      <c r="R450" s="153" t="str">
        <f t="shared" si="44"/>
        <v/>
      </c>
      <c r="S450" s="151"/>
      <c r="T450" s="158"/>
      <c r="U450" s="137"/>
      <c r="V450" s="137"/>
      <c r="W450" s="156" t="str">
        <f t="shared" si="48"/>
        <v/>
      </c>
      <c r="X450" s="157"/>
      <c r="Y450" s="158"/>
      <c r="Z450" s="158"/>
      <c r="AA450" s="137" t="str">
        <f t="shared" ca="1" si="49"/>
        <v/>
      </c>
      <c r="AB450" s="137" t="str">
        <f t="shared" ca="1" si="45"/>
        <v/>
      </c>
      <c r="AC450" s="160" t="str">
        <f t="shared" ca="1" si="46"/>
        <v/>
      </c>
      <c r="AD450" s="159" t="str">
        <f t="shared" ca="1" si="47"/>
        <v/>
      </c>
      <c r="AE450" s="161"/>
      <c r="AF450" s="161"/>
      <c r="AG450" s="161"/>
      <c r="AH450" s="137"/>
      <c r="AI450" s="164" t="str">
        <f t="shared" si="50"/>
        <v/>
      </c>
      <c r="AJ450" s="164" t="str">
        <f>IF(AND(OpenPendingCases[[#This Row],[Sale Status	]]="Open Sale",OpenPendingCases[[#This Row],[Potential Same Month]]="High"),TEXT(OpenPendingCases[[#This Row],[Request Entry Date]], "[$-en-us]mmmm"),"")</f>
        <v/>
      </c>
      <c r="AK450" s="165" t="str">
        <f>IFERROR(VALUE(SUBSTITUTE(OpenPendingCases[[#This Row],[Price]]," AED","")),"")</f>
        <v/>
      </c>
      <c r="AL450" s="165" t="str">
        <f>IFERROR(VALUE(LEFT(OpenPendingCases[[#This Row],[Price]],FIND(" ",OpenPendingCases[[#This Row],[Price]])-1)),"")</f>
        <v/>
      </c>
      <c r="AM450" s="165" t="str">
        <f>IFERROR(VALUE(_xlfn.TEXTBEFORE(OpenPendingCases[[#This Row],[Price]]," AED")),"")</f>
        <v/>
      </c>
      <c r="AN450" s="165"/>
    </row>
    <row r="451" spans="3:40" ht="18" hidden="1" x14ac:dyDescent="0.35">
      <c r="C451" s="134"/>
      <c r="D451" s="137" t="str">
        <f>IF($U451="Open Sale", IF(MAX($D$4:D450)+1=0, "", MAX($D$4:D450)+1), "")</f>
        <v/>
      </c>
      <c r="E451" s="137" t="str">
        <f>IF($U451="Pending Allocation", IF(MAX($E$4:E450)+1=0, "", MAX($E$4:E450)+1), "")</f>
        <v/>
      </c>
      <c r="F451" s="137"/>
      <c r="G451" s="137"/>
      <c r="H451" s="150"/>
      <c r="I451" s="150"/>
      <c r="J451" s="68" t="str">
        <f>IF(OpenPendingCases[[#This Row],[Timepiece Reference ]]="", "", IF(_xlfn.XLOOKUP(OpenPendingCases[[#This Row],[Timepiece Reference ]], Table1[[Timepiece Reference ]], Table1[CRC STOCK], "Not Found")="YES", "CRC Stock", "Boutique Stock"))</f>
        <v/>
      </c>
      <c r="K451" s="137" t="str">
        <f>IF(OpenPendingCases[[#This Row],[Timepiece Reference ]]="", "", IF(_xlfn.XLOOKUP(OpenPendingCases[[#This Row],[Timepiece Reference ]], Table1[[Timepiece Reference ]], Table1[CRC STOCK], "Not Found")="YES", "CRC Stock", "Boutique Stock"))</f>
        <v/>
      </c>
      <c r="L451" s="143"/>
      <c r="M451" s="141"/>
      <c r="N451" s="137"/>
      <c r="O451" s="134"/>
      <c r="P451" s="94" t="str">
        <f>IFERROR(VLOOKUP(TRIM(O451), Collection!$B$2:$D$1001, 2, FALSE), "")</f>
        <v/>
      </c>
      <c r="Q451" s="190" t="str">
        <f>IFERROR(VLOOKUP(TRIM(O451), Collection!$B$2:$D$1001, 3, FALSE), "")</f>
        <v/>
      </c>
      <c r="R451" s="153" t="str">
        <f t="shared" ref="R451:R514" si="51">IFERROR(VALUE(SUBSTITUTE(SUBSTITUTE(Q451, "Price", ""), "AED", "")), "")</f>
        <v/>
      </c>
      <c r="S451" s="151"/>
      <c r="T451" s="158"/>
      <c r="U451" s="137"/>
      <c r="V451" s="137"/>
      <c r="W451" s="156" t="str">
        <f t="shared" si="48"/>
        <v/>
      </c>
      <c r="X451" s="157"/>
      <c r="Y451" s="158"/>
      <c r="Z451" s="158"/>
      <c r="AA451" s="137" t="str">
        <f t="shared" ca="1" si="49"/>
        <v/>
      </c>
      <c r="AB451" s="137" t="str">
        <f t="shared" ref="AB451:AB514" ca="1" si="52">IF(H451="", "", IF(OR(U451="Pending", U451="Pending Allocation"), CONCATENATE(TODAY()-H451, " Days"), IF(U451="Closed", "", "")))</f>
        <v/>
      </c>
      <c r="AC451" s="160" t="str">
        <f t="shared" ref="AC451:AC514" ca="1" si="53">IF(U451="Pending Allocation", IF(I451="", "", TODAY()-I451), "")</f>
        <v/>
      </c>
      <c r="AD451" s="159" t="str">
        <f t="shared" ref="AD451:AD514" ca="1" si="54">IF(U451="Open Sale", TEXT(TODAY()-I451, "0"),
   IF(U451="Pending", "",
      IF(U451="Closed Sale", "", "")))</f>
        <v/>
      </c>
      <c r="AE451" s="161"/>
      <c r="AF451" s="161"/>
      <c r="AG451" s="161"/>
      <c r="AH451" s="137"/>
      <c r="AI451" s="164" t="str">
        <f t="shared" si="50"/>
        <v/>
      </c>
      <c r="AJ451" s="164" t="str">
        <f>IF(AND(OpenPendingCases[[#This Row],[Sale Status	]]="Open Sale",OpenPendingCases[[#This Row],[Potential Same Month]]="High"),TEXT(OpenPendingCases[[#This Row],[Request Entry Date]], "[$-en-us]mmmm"),"")</f>
        <v/>
      </c>
      <c r="AK451" s="165" t="str">
        <f>IFERROR(VALUE(SUBSTITUTE(OpenPendingCases[[#This Row],[Price]]," AED","")),"")</f>
        <v/>
      </c>
      <c r="AL451" s="165" t="str">
        <f>IFERROR(VALUE(LEFT(OpenPendingCases[[#This Row],[Price]],FIND(" ",OpenPendingCases[[#This Row],[Price]])-1)),"")</f>
        <v/>
      </c>
      <c r="AM451" s="165" t="str">
        <f>IFERROR(VALUE(_xlfn.TEXTBEFORE(OpenPendingCases[[#This Row],[Price]]," AED")),"")</f>
        <v/>
      </c>
      <c r="AN451" s="165"/>
    </row>
    <row r="452" spans="3:40" ht="18" hidden="1" x14ac:dyDescent="0.35">
      <c r="C452" s="134"/>
      <c r="D452" s="137" t="str">
        <f>IF($U452="Open Sale", IF(MAX($D$4:D451)+1=0, "", MAX($D$4:D451)+1), "")</f>
        <v/>
      </c>
      <c r="E452" s="137" t="str">
        <f>IF($U452="Pending Allocation", IF(MAX($E$4:E451)+1=0, "", MAX($E$4:E451)+1), "")</f>
        <v/>
      </c>
      <c r="F452" s="137"/>
      <c r="G452" s="137"/>
      <c r="H452" s="150"/>
      <c r="I452" s="150"/>
      <c r="J452" s="68" t="str">
        <f>IF(OpenPendingCases[[#This Row],[Timepiece Reference ]]="", "", IF(_xlfn.XLOOKUP(OpenPendingCases[[#This Row],[Timepiece Reference ]], Table1[[Timepiece Reference ]], Table1[CRC STOCK], "Not Found")="YES", "CRC Stock", "Boutique Stock"))</f>
        <v/>
      </c>
      <c r="K452" s="137" t="str">
        <f>IF(OpenPendingCases[[#This Row],[Timepiece Reference ]]="", "", IF(_xlfn.XLOOKUP(OpenPendingCases[[#This Row],[Timepiece Reference ]], Table1[[Timepiece Reference ]], Table1[CRC STOCK], "Not Found")="YES", "CRC Stock", "Boutique Stock"))</f>
        <v/>
      </c>
      <c r="L452" s="143"/>
      <c r="M452" s="141"/>
      <c r="N452" s="137"/>
      <c r="O452" s="134"/>
      <c r="P452" s="94" t="str">
        <f>IFERROR(VLOOKUP(TRIM(O452), Collection!$B$2:$D$1001, 2, FALSE), "")</f>
        <v/>
      </c>
      <c r="Q452" s="190" t="str">
        <f>IFERROR(VLOOKUP(TRIM(O452), Collection!$B$2:$D$1001, 3, FALSE), "")</f>
        <v/>
      </c>
      <c r="R452" s="153" t="str">
        <f t="shared" si="51"/>
        <v/>
      </c>
      <c r="S452" s="151"/>
      <c r="T452" s="158"/>
      <c r="U452" s="137"/>
      <c r="V452" s="137"/>
      <c r="W452" s="156" t="str">
        <f t="shared" ref="W452:W512" si="55" xml:space="preserve"> IF(Z452 = "",
     "",
     TEXT(Z452, "mmmm"))</f>
        <v/>
      </c>
      <c r="X452" s="157"/>
      <c r="Y452" s="158"/>
      <c r="Z452" s="158"/>
      <c r="AA452" s="137" t="str">
        <f t="shared" ref="AA452:AA515" ca="1" si="56">IF(H452="", "", IF(U452="Open Sale", IF(TODAY()-H452=0, "0 Days", TEXT(TODAY()-H452, "0") &amp; " Days"), IF(U452="Closed Sale", AA452, "")))</f>
        <v/>
      </c>
      <c r="AB452" s="137" t="str">
        <f t="shared" ca="1" si="52"/>
        <v/>
      </c>
      <c r="AC452" s="160" t="str">
        <f t="shared" ca="1" si="53"/>
        <v/>
      </c>
      <c r="AD452" s="159" t="str">
        <f t="shared" ca="1" si="54"/>
        <v/>
      </c>
      <c r="AE452" s="161"/>
      <c r="AF452" s="161"/>
      <c r="AG452" s="161"/>
      <c r="AH452" s="137"/>
      <c r="AI452" s="164" t="str">
        <f t="shared" si="50"/>
        <v/>
      </c>
      <c r="AJ452" s="164" t="str">
        <f>IF(AND(OpenPendingCases[[#This Row],[Sale Status	]]="Open Sale",OpenPendingCases[[#This Row],[Potential Same Month]]="High"),TEXT(OpenPendingCases[[#This Row],[Request Entry Date]], "[$-en-us]mmmm"),"")</f>
        <v/>
      </c>
      <c r="AK452" s="165" t="str">
        <f>IFERROR(VALUE(SUBSTITUTE(OpenPendingCases[[#This Row],[Price]]," AED","")),"")</f>
        <v/>
      </c>
      <c r="AL452" s="165" t="str">
        <f>IFERROR(VALUE(LEFT(OpenPendingCases[[#This Row],[Price]],FIND(" ",OpenPendingCases[[#This Row],[Price]])-1)),"")</f>
        <v/>
      </c>
      <c r="AM452" s="165" t="str">
        <f>IFERROR(VALUE(_xlfn.TEXTBEFORE(OpenPendingCases[[#This Row],[Price]]," AED")),"")</f>
        <v/>
      </c>
      <c r="AN452" s="165"/>
    </row>
    <row r="453" spans="3:40" ht="18" hidden="1" x14ac:dyDescent="0.35">
      <c r="C453" s="134"/>
      <c r="D453" s="137" t="str">
        <f>IF($U453="Open Sale", IF(MAX($D$4:D452)+1=0, "", MAX($D$4:D452)+1), "")</f>
        <v/>
      </c>
      <c r="E453" s="137" t="str">
        <f>IF($U453="Pending Allocation", IF(MAX($E$4:E452)+1=0, "", MAX($E$4:E452)+1), "")</f>
        <v/>
      </c>
      <c r="F453" s="137"/>
      <c r="G453" s="137"/>
      <c r="H453" s="150"/>
      <c r="I453" s="150"/>
      <c r="J453" s="68" t="str">
        <f>IF(OpenPendingCases[[#This Row],[Timepiece Reference ]]="", "", IF(_xlfn.XLOOKUP(OpenPendingCases[[#This Row],[Timepiece Reference ]], Table1[[Timepiece Reference ]], Table1[CRC STOCK], "Not Found")="YES", "CRC Stock", "Boutique Stock"))</f>
        <v/>
      </c>
      <c r="K453" s="137" t="str">
        <f>IF(OpenPendingCases[[#This Row],[Timepiece Reference ]]="", "", IF(_xlfn.XLOOKUP(OpenPendingCases[[#This Row],[Timepiece Reference ]], Table1[[Timepiece Reference ]], Table1[CRC STOCK], "Not Found")="YES", "CRC Stock", "Boutique Stock"))</f>
        <v/>
      </c>
      <c r="L453" s="143"/>
      <c r="M453" s="141"/>
      <c r="N453" s="137"/>
      <c r="O453" s="134"/>
      <c r="P453" s="94" t="str">
        <f>IFERROR(VLOOKUP(TRIM(O453), Collection!$B$2:$D$1001, 2, FALSE), "")</f>
        <v/>
      </c>
      <c r="Q453" s="190" t="str">
        <f>IFERROR(VLOOKUP(TRIM(O453), Collection!$B$2:$D$1001, 3, FALSE), "")</f>
        <v/>
      </c>
      <c r="R453" s="153" t="str">
        <f t="shared" si="51"/>
        <v/>
      </c>
      <c r="S453" s="151"/>
      <c r="T453" s="158"/>
      <c r="U453" s="137"/>
      <c r="V453" s="137"/>
      <c r="W453" s="156" t="str">
        <f t="shared" si="55"/>
        <v/>
      </c>
      <c r="X453" s="157"/>
      <c r="Y453" s="158"/>
      <c r="Z453" s="158"/>
      <c r="AA453" s="137" t="str">
        <f t="shared" ca="1" si="56"/>
        <v/>
      </c>
      <c r="AB453" s="137" t="str">
        <f t="shared" ca="1" si="52"/>
        <v/>
      </c>
      <c r="AC453" s="160" t="str">
        <f t="shared" ca="1" si="53"/>
        <v/>
      </c>
      <c r="AD453" s="159" t="str">
        <f t="shared" ca="1" si="54"/>
        <v/>
      </c>
      <c r="AE453" s="161"/>
      <c r="AF453" s="161"/>
      <c r="AG453" s="161"/>
      <c r="AH453" s="137"/>
      <c r="AI453" s="164" t="str">
        <f t="shared" si="50"/>
        <v/>
      </c>
      <c r="AJ453" s="164" t="str">
        <f>IF(AND(OpenPendingCases[[#This Row],[Sale Status	]]="Open Sale",OpenPendingCases[[#This Row],[Potential Same Month]]="High"),TEXT(OpenPendingCases[[#This Row],[Request Entry Date]], "[$-en-us]mmmm"),"")</f>
        <v/>
      </c>
      <c r="AK453" s="165" t="str">
        <f>IFERROR(VALUE(SUBSTITUTE(OpenPendingCases[[#This Row],[Price]]," AED","")),"")</f>
        <v/>
      </c>
      <c r="AL453" s="165" t="str">
        <f>IFERROR(VALUE(LEFT(OpenPendingCases[[#This Row],[Price]],FIND(" ",OpenPendingCases[[#This Row],[Price]])-1)),"")</f>
        <v/>
      </c>
      <c r="AM453" s="165" t="str">
        <f>IFERROR(VALUE(_xlfn.TEXTBEFORE(OpenPendingCases[[#This Row],[Price]]," AED")),"")</f>
        <v/>
      </c>
      <c r="AN453" s="165"/>
    </row>
    <row r="454" spans="3:40" ht="18" hidden="1" x14ac:dyDescent="0.35">
      <c r="C454" s="134"/>
      <c r="D454" s="137" t="str">
        <f>IF($U454="Open Sale", IF(MAX($D$4:D453)+1=0, "", MAX($D$4:D453)+1), "")</f>
        <v/>
      </c>
      <c r="E454" s="137" t="str">
        <f>IF($U454="Pending Allocation", IF(MAX($E$4:E453)+1=0, "", MAX($E$4:E453)+1), "")</f>
        <v/>
      </c>
      <c r="F454" s="137"/>
      <c r="G454" s="137"/>
      <c r="H454" s="150"/>
      <c r="I454" s="150"/>
      <c r="J454" s="68" t="str">
        <f>IF(OpenPendingCases[[#This Row],[Timepiece Reference ]]="", "", IF(_xlfn.XLOOKUP(OpenPendingCases[[#This Row],[Timepiece Reference ]], Table1[[Timepiece Reference ]], Table1[CRC STOCK], "Not Found")="YES", "CRC Stock", "Boutique Stock"))</f>
        <v/>
      </c>
      <c r="K454" s="137" t="str">
        <f>IF(OpenPendingCases[[#This Row],[Timepiece Reference ]]="", "", IF(_xlfn.XLOOKUP(OpenPendingCases[[#This Row],[Timepiece Reference ]], Table1[[Timepiece Reference ]], Table1[CRC STOCK], "Not Found")="YES", "CRC Stock", "Boutique Stock"))</f>
        <v/>
      </c>
      <c r="L454" s="143"/>
      <c r="M454" s="141"/>
      <c r="N454" s="137"/>
      <c r="O454" s="134"/>
      <c r="P454" s="94" t="str">
        <f>IFERROR(VLOOKUP(TRIM(O454), Collection!$B$2:$D$1001, 2, FALSE), "")</f>
        <v/>
      </c>
      <c r="Q454" s="190" t="str">
        <f>IFERROR(VLOOKUP(TRIM(O454), Collection!$B$2:$D$1001, 3, FALSE), "")</f>
        <v/>
      </c>
      <c r="R454" s="153" t="str">
        <f t="shared" si="51"/>
        <v/>
      </c>
      <c r="S454" s="151"/>
      <c r="T454" s="158"/>
      <c r="U454" s="137"/>
      <c r="V454" s="137"/>
      <c r="W454" s="156" t="str">
        <f t="shared" si="55"/>
        <v/>
      </c>
      <c r="X454" s="157"/>
      <c r="Y454" s="158"/>
      <c r="Z454" s="158"/>
      <c r="AA454" s="137" t="str">
        <f t="shared" ca="1" si="56"/>
        <v/>
      </c>
      <c r="AB454" s="137" t="str">
        <f t="shared" ca="1" si="52"/>
        <v/>
      </c>
      <c r="AC454" s="160" t="str">
        <f t="shared" ca="1" si="53"/>
        <v/>
      </c>
      <c r="AD454" s="159" t="str">
        <f t="shared" ca="1" si="54"/>
        <v/>
      </c>
      <c r="AE454" s="161"/>
      <c r="AF454" s="161"/>
      <c r="AG454" s="161"/>
      <c r="AH454" s="137"/>
      <c r="AI454" s="164" t="str">
        <f t="shared" si="50"/>
        <v/>
      </c>
      <c r="AJ454" s="164" t="str">
        <f>IF(AND(OpenPendingCases[[#This Row],[Sale Status	]]="Open Sale",OpenPendingCases[[#This Row],[Potential Same Month]]="High"),TEXT(OpenPendingCases[[#This Row],[Request Entry Date]], "[$-en-us]mmmm"),"")</f>
        <v/>
      </c>
      <c r="AK454" s="165" t="str">
        <f>IFERROR(VALUE(SUBSTITUTE(OpenPendingCases[[#This Row],[Price]]," AED","")),"")</f>
        <v/>
      </c>
      <c r="AL454" s="165" t="str">
        <f>IFERROR(VALUE(LEFT(OpenPendingCases[[#This Row],[Price]],FIND(" ",OpenPendingCases[[#This Row],[Price]])-1)),"")</f>
        <v/>
      </c>
      <c r="AM454" s="165" t="str">
        <f>IFERROR(VALUE(_xlfn.TEXTBEFORE(OpenPendingCases[[#This Row],[Price]]," AED")),"")</f>
        <v/>
      </c>
      <c r="AN454" s="165"/>
    </row>
    <row r="455" spans="3:40" ht="18" hidden="1" x14ac:dyDescent="0.35">
      <c r="C455" s="134"/>
      <c r="D455" s="137" t="str">
        <f>IF($U455="Open Sale", IF(MAX($D$4:D454)+1=0, "", MAX($D$4:D454)+1), "")</f>
        <v/>
      </c>
      <c r="E455" s="137" t="str">
        <f>IF($U455="Pending Allocation", IF(MAX($E$4:E454)+1=0, "", MAX($E$4:E454)+1), "")</f>
        <v/>
      </c>
      <c r="F455" s="137"/>
      <c r="G455" s="137"/>
      <c r="H455" s="150"/>
      <c r="I455" s="150"/>
      <c r="J455" s="68" t="str">
        <f>IF(OpenPendingCases[[#This Row],[Timepiece Reference ]]="", "", IF(_xlfn.XLOOKUP(OpenPendingCases[[#This Row],[Timepiece Reference ]], Table1[[Timepiece Reference ]], Table1[CRC STOCK], "Not Found")="YES", "CRC Stock", "Boutique Stock"))</f>
        <v/>
      </c>
      <c r="K455" s="137" t="str">
        <f>IF(OpenPendingCases[[#This Row],[Timepiece Reference ]]="", "", IF(_xlfn.XLOOKUP(OpenPendingCases[[#This Row],[Timepiece Reference ]], Table1[[Timepiece Reference ]], Table1[CRC STOCK], "Not Found")="YES", "CRC Stock", "Boutique Stock"))</f>
        <v/>
      </c>
      <c r="L455" s="143"/>
      <c r="M455" s="141"/>
      <c r="N455" s="137"/>
      <c r="O455" s="134"/>
      <c r="P455" s="94" t="str">
        <f>IFERROR(VLOOKUP(TRIM(O455), Collection!$B$2:$D$1001, 2, FALSE), "")</f>
        <v/>
      </c>
      <c r="Q455" s="190" t="str">
        <f>IFERROR(VLOOKUP(TRIM(O455), Collection!$B$2:$D$1001, 3, FALSE), "")</f>
        <v/>
      </c>
      <c r="R455" s="153" t="str">
        <f t="shared" si="51"/>
        <v/>
      </c>
      <c r="S455" s="151"/>
      <c r="T455" s="158"/>
      <c r="U455" s="137"/>
      <c r="V455" s="137"/>
      <c r="W455" s="156" t="str">
        <f t="shared" si="55"/>
        <v/>
      </c>
      <c r="X455" s="157"/>
      <c r="Y455" s="158"/>
      <c r="Z455" s="158"/>
      <c r="AA455" s="137" t="str">
        <f t="shared" ca="1" si="56"/>
        <v/>
      </c>
      <c r="AB455" s="137" t="str">
        <f t="shared" ca="1" si="52"/>
        <v/>
      </c>
      <c r="AC455" s="160" t="str">
        <f t="shared" ca="1" si="53"/>
        <v/>
      </c>
      <c r="AD455" s="159" t="str">
        <f t="shared" ca="1" si="54"/>
        <v/>
      </c>
      <c r="AE455" s="161"/>
      <c r="AF455" s="161"/>
      <c r="AG455" s="161"/>
      <c r="AH455" s="137"/>
      <c r="AI455" s="164" t="str">
        <f t="shared" si="50"/>
        <v/>
      </c>
      <c r="AJ455" s="164" t="str">
        <f>IF(AND(OpenPendingCases[[#This Row],[Sale Status	]]="Open Sale",OpenPendingCases[[#This Row],[Potential Same Month]]="High"),TEXT(OpenPendingCases[[#This Row],[Request Entry Date]], "[$-en-us]mmmm"),"")</f>
        <v/>
      </c>
      <c r="AK455" s="165" t="str">
        <f>IFERROR(VALUE(SUBSTITUTE(OpenPendingCases[[#This Row],[Price]]," AED","")),"")</f>
        <v/>
      </c>
      <c r="AL455" s="165" t="str">
        <f>IFERROR(VALUE(LEFT(OpenPendingCases[[#This Row],[Price]],FIND(" ",OpenPendingCases[[#This Row],[Price]])-1)),"")</f>
        <v/>
      </c>
      <c r="AM455" s="165" t="str">
        <f>IFERROR(VALUE(_xlfn.TEXTBEFORE(OpenPendingCases[[#This Row],[Price]]," AED")),"")</f>
        <v/>
      </c>
      <c r="AN455" s="165"/>
    </row>
    <row r="456" spans="3:40" ht="18" hidden="1" x14ac:dyDescent="0.35">
      <c r="C456" s="134"/>
      <c r="D456" s="137" t="str">
        <f>IF($U456="Open Sale", IF(MAX($D$4:D455)+1=0, "", MAX($D$4:D455)+1), "")</f>
        <v/>
      </c>
      <c r="E456" s="137" t="str">
        <f>IF($U456="Pending Allocation", IF(MAX($E$4:E455)+1=0, "", MAX($E$4:E455)+1), "")</f>
        <v/>
      </c>
      <c r="F456" s="137"/>
      <c r="G456" s="137"/>
      <c r="H456" s="150"/>
      <c r="I456" s="150"/>
      <c r="J456" s="68" t="str">
        <f>IF(OpenPendingCases[[#This Row],[Timepiece Reference ]]="", "", IF(_xlfn.XLOOKUP(OpenPendingCases[[#This Row],[Timepiece Reference ]], Table1[[Timepiece Reference ]], Table1[CRC STOCK], "Not Found")="YES", "CRC Stock", "Boutique Stock"))</f>
        <v/>
      </c>
      <c r="K456" s="137" t="str">
        <f>IF(OpenPendingCases[[#This Row],[Timepiece Reference ]]="", "", IF(_xlfn.XLOOKUP(OpenPendingCases[[#This Row],[Timepiece Reference ]], Table1[[Timepiece Reference ]], Table1[CRC STOCK], "Not Found")="YES", "CRC Stock", "Boutique Stock"))</f>
        <v/>
      </c>
      <c r="L456" s="143"/>
      <c r="M456" s="141"/>
      <c r="N456" s="137"/>
      <c r="O456" s="134"/>
      <c r="P456" s="94" t="str">
        <f>IFERROR(VLOOKUP(TRIM(O456), Collection!$B$2:$D$1001, 2, FALSE), "")</f>
        <v/>
      </c>
      <c r="Q456" s="190" t="str">
        <f>IFERROR(VLOOKUP(TRIM(O456), Collection!$B$2:$D$1001, 3, FALSE), "")</f>
        <v/>
      </c>
      <c r="R456" s="153" t="str">
        <f t="shared" si="51"/>
        <v/>
      </c>
      <c r="S456" s="151"/>
      <c r="T456" s="158"/>
      <c r="U456" s="137"/>
      <c r="V456" s="137"/>
      <c r="W456" s="156" t="str">
        <f t="shared" si="55"/>
        <v/>
      </c>
      <c r="X456" s="157"/>
      <c r="Y456" s="158"/>
      <c r="Z456" s="158"/>
      <c r="AA456" s="137" t="str">
        <f t="shared" ca="1" si="56"/>
        <v/>
      </c>
      <c r="AB456" s="137" t="str">
        <f t="shared" ca="1" si="52"/>
        <v/>
      </c>
      <c r="AC456" s="160" t="str">
        <f t="shared" ca="1" si="53"/>
        <v/>
      </c>
      <c r="AD456" s="159" t="str">
        <f t="shared" ca="1" si="54"/>
        <v/>
      </c>
      <c r="AE456" s="161"/>
      <c r="AF456" s="161"/>
      <c r="AG456" s="161"/>
      <c r="AH456" s="137"/>
      <c r="AI456" s="164" t="str">
        <f t="shared" si="50"/>
        <v/>
      </c>
      <c r="AJ456" s="164" t="str">
        <f>IF(AND(OpenPendingCases[[#This Row],[Sale Status	]]="Open Sale",OpenPendingCases[[#This Row],[Potential Same Month]]="High"),TEXT(OpenPendingCases[[#This Row],[Request Entry Date]], "[$-en-us]mmmm"),"")</f>
        <v/>
      </c>
      <c r="AK456" s="165" t="str">
        <f>IFERROR(VALUE(SUBSTITUTE(OpenPendingCases[[#This Row],[Price]]," AED","")),"")</f>
        <v/>
      </c>
      <c r="AL456" s="165" t="str">
        <f>IFERROR(VALUE(LEFT(OpenPendingCases[[#This Row],[Price]],FIND(" ",OpenPendingCases[[#This Row],[Price]])-1)),"")</f>
        <v/>
      </c>
      <c r="AM456" s="165" t="str">
        <f>IFERROR(VALUE(_xlfn.TEXTBEFORE(OpenPendingCases[[#This Row],[Price]]," AED")),"")</f>
        <v/>
      </c>
      <c r="AN456" s="165"/>
    </row>
    <row r="457" spans="3:40" ht="18" hidden="1" x14ac:dyDescent="0.35">
      <c r="C457" s="134"/>
      <c r="D457" s="137" t="str">
        <f>IF($U457="Open Sale", IF(MAX($D$4:D456)+1=0, "", MAX($D$4:D456)+1), "")</f>
        <v/>
      </c>
      <c r="E457" s="137" t="str">
        <f>IF($U457="Pending Allocation", IF(MAX($E$4:E456)+1=0, "", MAX($E$4:E456)+1), "")</f>
        <v/>
      </c>
      <c r="F457" s="137"/>
      <c r="G457" s="137"/>
      <c r="H457" s="150"/>
      <c r="I457" s="150"/>
      <c r="J457" s="68" t="str">
        <f>IF(OpenPendingCases[[#This Row],[Timepiece Reference ]]="", "", IF(_xlfn.XLOOKUP(OpenPendingCases[[#This Row],[Timepiece Reference ]], Table1[[Timepiece Reference ]], Table1[CRC STOCK], "Not Found")="YES", "CRC Stock", "Boutique Stock"))</f>
        <v/>
      </c>
      <c r="K457" s="137" t="str">
        <f>IF(OpenPendingCases[[#This Row],[Timepiece Reference ]]="", "", IF(_xlfn.XLOOKUP(OpenPendingCases[[#This Row],[Timepiece Reference ]], Table1[[Timepiece Reference ]], Table1[CRC STOCK], "Not Found")="YES", "CRC Stock", "Boutique Stock"))</f>
        <v/>
      </c>
      <c r="L457" s="143"/>
      <c r="M457" s="141"/>
      <c r="N457" s="137"/>
      <c r="O457" s="134"/>
      <c r="P457" s="94" t="str">
        <f>IFERROR(VLOOKUP(TRIM(O457), Collection!$B$2:$D$1001, 2, FALSE), "")</f>
        <v/>
      </c>
      <c r="Q457" s="190" t="str">
        <f>IFERROR(VLOOKUP(TRIM(O457), Collection!$B$2:$D$1001, 3, FALSE), "")</f>
        <v/>
      </c>
      <c r="R457" s="153" t="str">
        <f t="shared" si="51"/>
        <v/>
      </c>
      <c r="S457" s="151"/>
      <c r="T457" s="158"/>
      <c r="U457" s="137"/>
      <c r="V457" s="137"/>
      <c r="W457" s="156" t="str">
        <f t="shared" si="55"/>
        <v/>
      </c>
      <c r="X457" s="157"/>
      <c r="Y457" s="158"/>
      <c r="Z457" s="158"/>
      <c r="AA457" s="137" t="str">
        <f t="shared" ca="1" si="56"/>
        <v/>
      </c>
      <c r="AB457" s="137" t="str">
        <f t="shared" ca="1" si="52"/>
        <v/>
      </c>
      <c r="AC457" s="160" t="str">
        <f t="shared" ca="1" si="53"/>
        <v/>
      </c>
      <c r="AD457" s="159" t="str">
        <f t="shared" ca="1" si="54"/>
        <v/>
      </c>
      <c r="AE457" s="161"/>
      <c r="AF457" s="161"/>
      <c r="AG457" s="161"/>
      <c r="AH457" s="137"/>
      <c r="AI457" s="164" t="str">
        <f t="shared" si="50"/>
        <v/>
      </c>
      <c r="AJ457" s="164" t="str">
        <f>IF(AND(OpenPendingCases[[#This Row],[Sale Status	]]="Open Sale",OpenPendingCases[[#This Row],[Potential Same Month]]="High"),TEXT(OpenPendingCases[[#This Row],[Request Entry Date]], "[$-en-us]mmmm"),"")</f>
        <v/>
      </c>
      <c r="AK457" s="165" t="str">
        <f>IFERROR(VALUE(SUBSTITUTE(OpenPendingCases[[#This Row],[Price]]," AED","")),"")</f>
        <v/>
      </c>
      <c r="AL457" s="165" t="str">
        <f>IFERROR(VALUE(LEFT(OpenPendingCases[[#This Row],[Price]],FIND(" ",OpenPendingCases[[#This Row],[Price]])-1)),"")</f>
        <v/>
      </c>
      <c r="AM457" s="165" t="str">
        <f>IFERROR(VALUE(_xlfn.TEXTBEFORE(OpenPendingCases[[#This Row],[Price]]," AED")),"")</f>
        <v/>
      </c>
      <c r="AN457" s="165"/>
    </row>
    <row r="458" spans="3:40" ht="18" hidden="1" x14ac:dyDescent="0.35">
      <c r="C458" s="134"/>
      <c r="D458" s="137" t="str">
        <f>IF($U458="Open Sale", IF(MAX($D$4:D457)+1=0, "", MAX($D$4:D457)+1), "")</f>
        <v/>
      </c>
      <c r="E458" s="137" t="str">
        <f>IF($U458="Pending Allocation", IF(MAX($E$4:E457)+1=0, "", MAX($E$4:E457)+1), "")</f>
        <v/>
      </c>
      <c r="F458" s="137"/>
      <c r="G458" s="137"/>
      <c r="H458" s="150"/>
      <c r="I458" s="150"/>
      <c r="J458" s="68" t="str">
        <f>IF(OpenPendingCases[[#This Row],[Timepiece Reference ]]="", "", IF(_xlfn.XLOOKUP(OpenPendingCases[[#This Row],[Timepiece Reference ]], Table1[[Timepiece Reference ]], Table1[CRC STOCK], "Not Found")="YES", "CRC Stock", "Boutique Stock"))</f>
        <v/>
      </c>
      <c r="K458" s="137" t="str">
        <f>IF(OpenPendingCases[[#This Row],[Timepiece Reference ]]="", "", IF(_xlfn.XLOOKUP(OpenPendingCases[[#This Row],[Timepiece Reference ]], Table1[[Timepiece Reference ]], Table1[CRC STOCK], "Not Found")="YES", "CRC Stock", "Boutique Stock"))</f>
        <v/>
      </c>
      <c r="L458" s="143"/>
      <c r="M458" s="141"/>
      <c r="N458" s="137"/>
      <c r="O458" s="134"/>
      <c r="P458" s="94" t="str">
        <f>IFERROR(VLOOKUP(TRIM(O458), Collection!$B$2:$D$1001, 2, FALSE), "")</f>
        <v/>
      </c>
      <c r="Q458" s="190" t="str">
        <f>IFERROR(VLOOKUP(TRIM(O458), Collection!$B$2:$D$1001, 3, FALSE), "")</f>
        <v/>
      </c>
      <c r="R458" s="153" t="str">
        <f t="shared" si="51"/>
        <v/>
      </c>
      <c r="S458" s="151"/>
      <c r="T458" s="158"/>
      <c r="U458" s="137"/>
      <c r="V458" s="137"/>
      <c r="W458" s="156" t="str">
        <f t="shared" si="55"/>
        <v/>
      </c>
      <c r="X458" s="157"/>
      <c r="Y458" s="158"/>
      <c r="Z458" s="158"/>
      <c r="AA458" s="137" t="str">
        <f t="shared" ca="1" si="56"/>
        <v/>
      </c>
      <c r="AB458" s="137" t="str">
        <f t="shared" ca="1" si="52"/>
        <v/>
      </c>
      <c r="AC458" s="160" t="str">
        <f t="shared" ca="1" si="53"/>
        <v/>
      </c>
      <c r="AD458" s="159" t="str">
        <f t="shared" ca="1" si="54"/>
        <v/>
      </c>
      <c r="AE458" s="161"/>
      <c r="AF458" s="161"/>
      <c r="AG458" s="161"/>
      <c r="AH458" s="137"/>
      <c r="AI458" s="164" t="str">
        <f t="shared" si="50"/>
        <v/>
      </c>
      <c r="AJ458" s="164" t="str">
        <f>IF(AND(OpenPendingCases[[#This Row],[Sale Status	]]="Open Sale",OpenPendingCases[[#This Row],[Potential Same Month]]="High"),TEXT(OpenPendingCases[[#This Row],[Request Entry Date]], "[$-en-us]mmmm"),"")</f>
        <v/>
      </c>
      <c r="AK458" s="165" t="str">
        <f>IFERROR(VALUE(SUBSTITUTE(OpenPendingCases[[#This Row],[Price]]," AED","")),"")</f>
        <v/>
      </c>
      <c r="AL458" s="165" t="str">
        <f>IFERROR(VALUE(LEFT(OpenPendingCases[[#This Row],[Price]],FIND(" ",OpenPendingCases[[#This Row],[Price]])-1)),"")</f>
        <v/>
      </c>
      <c r="AM458" s="165" t="str">
        <f>IFERROR(VALUE(_xlfn.TEXTBEFORE(OpenPendingCases[[#This Row],[Price]]," AED")),"")</f>
        <v/>
      </c>
      <c r="AN458" s="165"/>
    </row>
    <row r="459" spans="3:40" ht="18" hidden="1" x14ac:dyDescent="0.35">
      <c r="C459" s="134"/>
      <c r="D459" s="137" t="str">
        <f>IF($U459="Open Sale", IF(MAX($D$4:D458)+1=0, "", MAX($D$4:D458)+1), "")</f>
        <v/>
      </c>
      <c r="E459" s="137" t="str">
        <f>IF($U459="Pending Allocation", IF(MAX($E$4:E458)+1=0, "", MAX($E$4:E458)+1), "")</f>
        <v/>
      </c>
      <c r="F459" s="137"/>
      <c r="G459" s="137"/>
      <c r="H459" s="150"/>
      <c r="I459" s="150"/>
      <c r="J459" s="68" t="str">
        <f>IF(OpenPendingCases[[#This Row],[Timepiece Reference ]]="", "", IF(_xlfn.XLOOKUP(OpenPendingCases[[#This Row],[Timepiece Reference ]], Table1[[Timepiece Reference ]], Table1[CRC STOCK], "Not Found")="YES", "CRC Stock", "Boutique Stock"))</f>
        <v/>
      </c>
      <c r="K459" s="137" t="str">
        <f>IF(OpenPendingCases[[#This Row],[Timepiece Reference ]]="", "", IF(_xlfn.XLOOKUP(OpenPendingCases[[#This Row],[Timepiece Reference ]], Table1[[Timepiece Reference ]], Table1[CRC STOCK], "Not Found")="YES", "CRC Stock", "Boutique Stock"))</f>
        <v/>
      </c>
      <c r="L459" s="143"/>
      <c r="M459" s="141"/>
      <c r="N459" s="137"/>
      <c r="O459" s="134"/>
      <c r="P459" s="94" t="str">
        <f>IFERROR(VLOOKUP(TRIM(O459), Collection!$B$2:$D$1001, 2, FALSE), "")</f>
        <v/>
      </c>
      <c r="Q459" s="190" t="str">
        <f>IFERROR(VLOOKUP(TRIM(O459), Collection!$B$2:$D$1001, 3, FALSE), "")</f>
        <v/>
      </c>
      <c r="R459" s="153" t="str">
        <f t="shared" si="51"/>
        <v/>
      </c>
      <c r="S459" s="151"/>
      <c r="T459" s="158"/>
      <c r="U459" s="137"/>
      <c r="V459" s="137"/>
      <c r="W459" s="156" t="str">
        <f t="shared" si="55"/>
        <v/>
      </c>
      <c r="X459" s="157"/>
      <c r="Y459" s="158"/>
      <c r="Z459" s="158"/>
      <c r="AA459" s="137" t="str">
        <f t="shared" ca="1" si="56"/>
        <v/>
      </c>
      <c r="AB459" s="137" t="str">
        <f t="shared" ca="1" si="52"/>
        <v/>
      </c>
      <c r="AC459" s="160" t="str">
        <f t="shared" ca="1" si="53"/>
        <v/>
      </c>
      <c r="AD459" s="159" t="str">
        <f t="shared" ca="1" si="54"/>
        <v/>
      </c>
      <c r="AE459" s="161"/>
      <c r="AF459" s="161"/>
      <c r="AG459" s="161"/>
      <c r="AH459" s="137"/>
      <c r="AI459" s="164" t="str">
        <f t="shared" si="50"/>
        <v/>
      </c>
      <c r="AJ459" s="164" t="str">
        <f>IF(AND(OpenPendingCases[[#This Row],[Sale Status	]]="Open Sale",OpenPendingCases[[#This Row],[Potential Same Month]]="High"),TEXT(OpenPendingCases[[#This Row],[Request Entry Date]], "[$-en-us]mmmm"),"")</f>
        <v/>
      </c>
      <c r="AK459" s="165" t="str">
        <f>IFERROR(VALUE(SUBSTITUTE(OpenPendingCases[[#This Row],[Price]]," AED","")),"")</f>
        <v/>
      </c>
      <c r="AL459" s="165" t="str">
        <f>IFERROR(VALUE(LEFT(OpenPendingCases[[#This Row],[Price]],FIND(" ",OpenPendingCases[[#This Row],[Price]])-1)),"")</f>
        <v/>
      </c>
      <c r="AM459" s="165" t="str">
        <f>IFERROR(VALUE(_xlfn.TEXTBEFORE(OpenPendingCases[[#This Row],[Price]]," AED")),"")</f>
        <v/>
      </c>
      <c r="AN459" s="165"/>
    </row>
    <row r="460" spans="3:40" ht="18" hidden="1" x14ac:dyDescent="0.35">
      <c r="C460" s="134"/>
      <c r="D460" s="137" t="str">
        <f>IF($U460="Open Sale", IF(MAX($D$4:D459)+1=0, "", MAX($D$4:D459)+1), "")</f>
        <v/>
      </c>
      <c r="E460" s="137" t="str">
        <f>IF($U460="Pending Allocation", IF(MAX($E$4:E459)+1=0, "", MAX($E$4:E459)+1), "")</f>
        <v/>
      </c>
      <c r="F460" s="137"/>
      <c r="G460" s="137"/>
      <c r="H460" s="150"/>
      <c r="I460" s="150"/>
      <c r="J460" s="68" t="str">
        <f>IF(OpenPendingCases[[#This Row],[Timepiece Reference ]]="", "", IF(_xlfn.XLOOKUP(OpenPendingCases[[#This Row],[Timepiece Reference ]], Table1[[Timepiece Reference ]], Table1[CRC STOCK], "Not Found")="YES", "CRC Stock", "Boutique Stock"))</f>
        <v/>
      </c>
      <c r="K460" s="137" t="str">
        <f>IF(OpenPendingCases[[#This Row],[Timepiece Reference ]]="", "", IF(_xlfn.XLOOKUP(OpenPendingCases[[#This Row],[Timepiece Reference ]], Table1[[Timepiece Reference ]], Table1[CRC STOCK], "Not Found")="YES", "CRC Stock", "Boutique Stock"))</f>
        <v/>
      </c>
      <c r="L460" s="143"/>
      <c r="M460" s="141"/>
      <c r="N460" s="137"/>
      <c r="O460" s="134"/>
      <c r="P460" s="94" t="str">
        <f>IFERROR(VLOOKUP(TRIM(O460), Collection!$B$2:$D$1001, 2, FALSE), "")</f>
        <v/>
      </c>
      <c r="Q460" s="190" t="str">
        <f>IFERROR(VLOOKUP(TRIM(O460), Collection!$B$2:$D$1001, 3, FALSE), "")</f>
        <v/>
      </c>
      <c r="R460" s="153" t="str">
        <f t="shared" si="51"/>
        <v/>
      </c>
      <c r="S460" s="151"/>
      <c r="T460" s="158"/>
      <c r="U460" s="137"/>
      <c r="V460" s="137"/>
      <c r="W460" s="156" t="str">
        <f t="shared" si="55"/>
        <v/>
      </c>
      <c r="X460" s="157"/>
      <c r="Y460" s="158"/>
      <c r="Z460" s="158"/>
      <c r="AA460" s="137" t="str">
        <f t="shared" ca="1" si="56"/>
        <v/>
      </c>
      <c r="AB460" s="137" t="str">
        <f t="shared" ca="1" si="52"/>
        <v/>
      </c>
      <c r="AC460" s="160" t="str">
        <f t="shared" ca="1" si="53"/>
        <v/>
      </c>
      <c r="AD460" s="159" t="str">
        <f t="shared" ca="1" si="54"/>
        <v/>
      </c>
      <c r="AE460" s="161"/>
      <c r="AF460" s="161"/>
      <c r="AG460" s="161"/>
      <c r="AH460" s="137"/>
      <c r="AI460" s="164" t="str">
        <f t="shared" si="50"/>
        <v/>
      </c>
      <c r="AJ460" s="164" t="str">
        <f>IF(AND(OpenPendingCases[[#This Row],[Sale Status	]]="Open Sale",OpenPendingCases[[#This Row],[Potential Same Month]]="High"),TEXT(OpenPendingCases[[#This Row],[Request Entry Date]], "[$-en-us]mmmm"),"")</f>
        <v/>
      </c>
      <c r="AK460" s="165" t="str">
        <f>IFERROR(VALUE(SUBSTITUTE(OpenPendingCases[[#This Row],[Price]]," AED","")),"")</f>
        <v/>
      </c>
      <c r="AL460" s="165" t="str">
        <f>IFERROR(VALUE(LEFT(OpenPendingCases[[#This Row],[Price]],FIND(" ",OpenPendingCases[[#This Row],[Price]])-1)),"")</f>
        <v/>
      </c>
      <c r="AM460" s="165" t="str">
        <f>IFERROR(VALUE(_xlfn.TEXTBEFORE(OpenPendingCases[[#This Row],[Price]]," AED")),"")</f>
        <v/>
      </c>
      <c r="AN460" s="165"/>
    </row>
    <row r="461" spans="3:40" ht="18" hidden="1" x14ac:dyDescent="0.35">
      <c r="C461" s="134"/>
      <c r="D461" s="137" t="str">
        <f>IF($U461="Open Sale", IF(MAX($D$4:D460)+1=0, "", MAX($D$4:D460)+1), "")</f>
        <v/>
      </c>
      <c r="E461" s="137" t="str">
        <f>IF($U461="Pending Allocation", IF(MAX($E$4:E460)+1=0, "", MAX($E$4:E460)+1), "")</f>
        <v/>
      </c>
      <c r="F461" s="137"/>
      <c r="G461" s="137"/>
      <c r="H461" s="150"/>
      <c r="I461" s="150"/>
      <c r="J461" s="68" t="str">
        <f>IF(OpenPendingCases[[#This Row],[Timepiece Reference ]]="", "", IF(_xlfn.XLOOKUP(OpenPendingCases[[#This Row],[Timepiece Reference ]], Table1[[Timepiece Reference ]], Table1[CRC STOCK], "Not Found")="YES", "CRC Stock", "Boutique Stock"))</f>
        <v/>
      </c>
      <c r="K461" s="137" t="str">
        <f>IF(OpenPendingCases[[#This Row],[Timepiece Reference ]]="", "", IF(_xlfn.XLOOKUP(OpenPendingCases[[#This Row],[Timepiece Reference ]], Table1[[Timepiece Reference ]], Table1[CRC STOCK], "Not Found")="YES", "CRC Stock", "Boutique Stock"))</f>
        <v/>
      </c>
      <c r="L461" s="143"/>
      <c r="M461" s="141"/>
      <c r="N461" s="137"/>
      <c r="O461" s="134"/>
      <c r="P461" s="94" t="str">
        <f>IFERROR(VLOOKUP(TRIM(O461), Collection!$B$2:$D$1001, 2, FALSE), "")</f>
        <v/>
      </c>
      <c r="Q461" s="190" t="str">
        <f>IFERROR(VLOOKUP(TRIM(O461), Collection!$B$2:$D$1001, 3, FALSE), "")</f>
        <v/>
      </c>
      <c r="R461" s="153" t="str">
        <f t="shared" si="51"/>
        <v/>
      </c>
      <c r="S461" s="151"/>
      <c r="T461" s="158"/>
      <c r="U461" s="137"/>
      <c r="V461" s="137"/>
      <c r="W461" s="156" t="str">
        <f t="shared" si="55"/>
        <v/>
      </c>
      <c r="X461" s="157"/>
      <c r="Y461" s="158"/>
      <c r="Z461" s="158"/>
      <c r="AA461" s="137" t="str">
        <f t="shared" ca="1" si="56"/>
        <v/>
      </c>
      <c r="AB461" s="137" t="str">
        <f t="shared" ca="1" si="52"/>
        <v/>
      </c>
      <c r="AC461" s="160" t="str">
        <f t="shared" ca="1" si="53"/>
        <v/>
      </c>
      <c r="AD461" s="159" t="str">
        <f t="shared" ca="1" si="54"/>
        <v/>
      </c>
      <c r="AE461" s="161"/>
      <c r="AF461" s="161"/>
      <c r="AG461" s="161"/>
      <c r="AH461" s="137"/>
      <c r="AI461" s="164" t="str">
        <f t="shared" si="50"/>
        <v/>
      </c>
      <c r="AJ461" s="164" t="str">
        <f>IF(AND(OpenPendingCases[[#This Row],[Sale Status	]]="Open Sale",OpenPendingCases[[#This Row],[Potential Same Month]]="High"),TEXT(OpenPendingCases[[#This Row],[Request Entry Date]], "[$-en-us]mmmm"),"")</f>
        <v/>
      </c>
      <c r="AK461" s="165" t="str">
        <f>IFERROR(VALUE(SUBSTITUTE(OpenPendingCases[[#This Row],[Price]]," AED","")),"")</f>
        <v/>
      </c>
      <c r="AL461" s="165" t="str">
        <f>IFERROR(VALUE(LEFT(OpenPendingCases[[#This Row],[Price]],FIND(" ",OpenPendingCases[[#This Row],[Price]])-1)),"")</f>
        <v/>
      </c>
      <c r="AM461" s="165" t="str">
        <f>IFERROR(VALUE(_xlfn.TEXTBEFORE(OpenPendingCases[[#This Row],[Price]]," AED")),"")</f>
        <v/>
      </c>
      <c r="AN461" s="165"/>
    </row>
    <row r="462" spans="3:40" ht="18" hidden="1" x14ac:dyDescent="0.35">
      <c r="C462" s="134"/>
      <c r="D462" s="137" t="str">
        <f>IF($U462="Open Sale", IF(MAX($D$4:D461)+1=0, "", MAX($D$4:D461)+1), "")</f>
        <v/>
      </c>
      <c r="E462" s="137" t="str">
        <f>IF($U462="Pending Allocation", IF(MAX($E$4:E461)+1=0, "", MAX($E$4:E461)+1), "")</f>
        <v/>
      </c>
      <c r="F462" s="137"/>
      <c r="G462" s="137"/>
      <c r="H462" s="150"/>
      <c r="I462" s="150"/>
      <c r="J462" s="68" t="str">
        <f>IF(OpenPendingCases[[#This Row],[Timepiece Reference ]]="", "", IF(_xlfn.XLOOKUP(OpenPendingCases[[#This Row],[Timepiece Reference ]], Table1[[Timepiece Reference ]], Table1[CRC STOCK], "Not Found")="YES", "CRC Stock", "Boutique Stock"))</f>
        <v/>
      </c>
      <c r="K462" s="137" t="str">
        <f>IF(OpenPendingCases[[#This Row],[Timepiece Reference ]]="", "", IF(_xlfn.XLOOKUP(OpenPendingCases[[#This Row],[Timepiece Reference ]], Table1[[Timepiece Reference ]], Table1[CRC STOCK], "Not Found")="YES", "CRC Stock", "Boutique Stock"))</f>
        <v/>
      </c>
      <c r="L462" s="143"/>
      <c r="M462" s="141"/>
      <c r="N462" s="137"/>
      <c r="O462" s="134"/>
      <c r="P462" s="94" t="str">
        <f>IFERROR(VLOOKUP(TRIM(O462), Collection!$B$2:$D$1001, 2, FALSE), "")</f>
        <v/>
      </c>
      <c r="Q462" s="190" t="str">
        <f>IFERROR(VLOOKUP(TRIM(O462), Collection!$B$2:$D$1001, 3, FALSE), "")</f>
        <v/>
      </c>
      <c r="R462" s="153" t="str">
        <f t="shared" si="51"/>
        <v/>
      </c>
      <c r="S462" s="151"/>
      <c r="T462" s="158"/>
      <c r="U462" s="137"/>
      <c r="V462" s="137"/>
      <c r="W462" s="156" t="str">
        <f t="shared" si="55"/>
        <v/>
      </c>
      <c r="X462" s="157"/>
      <c r="Y462" s="158"/>
      <c r="Z462" s="158"/>
      <c r="AA462" s="137" t="str">
        <f t="shared" ca="1" si="56"/>
        <v/>
      </c>
      <c r="AB462" s="137" t="str">
        <f t="shared" ca="1" si="52"/>
        <v/>
      </c>
      <c r="AC462" s="160" t="str">
        <f t="shared" ca="1" si="53"/>
        <v/>
      </c>
      <c r="AD462" s="159" t="str">
        <f t="shared" ca="1" si="54"/>
        <v/>
      </c>
      <c r="AE462" s="161"/>
      <c r="AF462" s="161"/>
      <c r="AG462" s="161"/>
      <c r="AH462" s="137"/>
      <c r="AI462" s="164" t="str">
        <f t="shared" si="50"/>
        <v/>
      </c>
      <c r="AJ462" s="164" t="str">
        <f>IF(AND(OpenPendingCases[[#This Row],[Sale Status	]]="Open Sale",OpenPendingCases[[#This Row],[Potential Same Month]]="High"),TEXT(OpenPendingCases[[#This Row],[Request Entry Date]], "[$-en-us]mmmm"),"")</f>
        <v/>
      </c>
      <c r="AK462" s="165" t="str">
        <f>IFERROR(VALUE(SUBSTITUTE(OpenPendingCases[[#This Row],[Price]]," AED","")),"")</f>
        <v/>
      </c>
      <c r="AL462" s="165" t="str">
        <f>IFERROR(VALUE(LEFT(OpenPendingCases[[#This Row],[Price]],FIND(" ",OpenPendingCases[[#This Row],[Price]])-1)),"")</f>
        <v/>
      </c>
      <c r="AM462" s="165" t="str">
        <f>IFERROR(VALUE(_xlfn.TEXTBEFORE(OpenPendingCases[[#This Row],[Price]]," AED")),"")</f>
        <v/>
      </c>
      <c r="AN462" s="165"/>
    </row>
    <row r="463" spans="3:40" ht="18" hidden="1" x14ac:dyDescent="0.35">
      <c r="C463" s="134"/>
      <c r="D463" s="137" t="str">
        <f>IF($U463="Open Sale", IF(MAX($D$4:D462)+1=0, "", MAX($D$4:D462)+1), "")</f>
        <v/>
      </c>
      <c r="E463" s="137" t="str">
        <f>IF($U463="Pending Allocation", IF(MAX($E$4:E462)+1=0, "", MAX($E$4:E462)+1), "")</f>
        <v/>
      </c>
      <c r="F463" s="137"/>
      <c r="G463" s="137"/>
      <c r="H463" s="150"/>
      <c r="I463" s="150"/>
      <c r="J463" s="68" t="str">
        <f>IF(OpenPendingCases[[#This Row],[Timepiece Reference ]]="", "", IF(_xlfn.XLOOKUP(OpenPendingCases[[#This Row],[Timepiece Reference ]], Table1[[Timepiece Reference ]], Table1[CRC STOCK], "Not Found")="YES", "CRC Stock", "Boutique Stock"))</f>
        <v/>
      </c>
      <c r="K463" s="137" t="str">
        <f>IF(OpenPendingCases[[#This Row],[Timepiece Reference ]]="", "", IF(_xlfn.XLOOKUP(OpenPendingCases[[#This Row],[Timepiece Reference ]], Table1[[Timepiece Reference ]], Table1[CRC STOCK], "Not Found")="YES", "CRC Stock", "Boutique Stock"))</f>
        <v/>
      </c>
      <c r="L463" s="143"/>
      <c r="M463" s="141"/>
      <c r="N463" s="137"/>
      <c r="O463" s="134"/>
      <c r="P463" s="94" t="str">
        <f>IFERROR(VLOOKUP(TRIM(O463), Collection!$B$2:$D$1001, 2, FALSE), "")</f>
        <v/>
      </c>
      <c r="Q463" s="190" t="str">
        <f>IFERROR(VLOOKUP(TRIM(O463), Collection!$B$2:$D$1001, 3, FALSE), "")</f>
        <v/>
      </c>
      <c r="R463" s="153" t="str">
        <f t="shared" si="51"/>
        <v/>
      </c>
      <c r="S463" s="151"/>
      <c r="T463" s="158"/>
      <c r="U463" s="137"/>
      <c r="V463" s="137"/>
      <c r="W463" s="156" t="str">
        <f t="shared" si="55"/>
        <v/>
      </c>
      <c r="X463" s="157"/>
      <c r="Y463" s="158"/>
      <c r="Z463" s="158"/>
      <c r="AA463" s="137" t="str">
        <f t="shared" ca="1" si="56"/>
        <v/>
      </c>
      <c r="AB463" s="137" t="str">
        <f t="shared" ca="1" si="52"/>
        <v/>
      </c>
      <c r="AC463" s="160" t="str">
        <f t="shared" ca="1" si="53"/>
        <v/>
      </c>
      <c r="AD463" s="159" t="str">
        <f t="shared" ca="1" si="54"/>
        <v/>
      </c>
      <c r="AE463" s="161"/>
      <c r="AF463" s="161"/>
      <c r="AG463" s="161"/>
      <c r="AH463" s="137"/>
      <c r="AI463" s="164" t="str">
        <f t="shared" si="50"/>
        <v/>
      </c>
      <c r="AJ463" s="164" t="str">
        <f>IF(AND(OpenPendingCases[[#This Row],[Sale Status	]]="Open Sale",OpenPendingCases[[#This Row],[Potential Same Month]]="High"),TEXT(OpenPendingCases[[#This Row],[Request Entry Date]], "[$-en-us]mmmm"),"")</f>
        <v/>
      </c>
      <c r="AK463" s="165" t="str">
        <f>IFERROR(VALUE(SUBSTITUTE(OpenPendingCases[[#This Row],[Price]]," AED","")),"")</f>
        <v/>
      </c>
      <c r="AL463" s="165" t="str">
        <f>IFERROR(VALUE(LEFT(OpenPendingCases[[#This Row],[Price]],FIND(" ",OpenPendingCases[[#This Row],[Price]])-1)),"")</f>
        <v/>
      </c>
      <c r="AM463" s="165" t="str">
        <f>IFERROR(VALUE(_xlfn.TEXTBEFORE(OpenPendingCases[[#This Row],[Price]]," AED")),"")</f>
        <v/>
      </c>
      <c r="AN463" s="165"/>
    </row>
    <row r="464" spans="3:40" ht="18" hidden="1" x14ac:dyDescent="0.35">
      <c r="C464" s="134"/>
      <c r="D464" s="137" t="str">
        <f>IF($U464="Open Sale", IF(MAX($D$4:D463)+1=0, "", MAX($D$4:D463)+1), "")</f>
        <v/>
      </c>
      <c r="E464" s="137" t="str">
        <f>IF($U464="Pending Allocation", IF(MAX($E$4:E463)+1=0, "", MAX($E$4:E463)+1), "")</f>
        <v/>
      </c>
      <c r="F464" s="137"/>
      <c r="G464" s="137"/>
      <c r="H464" s="150"/>
      <c r="I464" s="150"/>
      <c r="J464" s="68" t="str">
        <f>IF(OpenPendingCases[[#This Row],[Timepiece Reference ]]="", "", IF(_xlfn.XLOOKUP(OpenPendingCases[[#This Row],[Timepiece Reference ]], Table1[[Timepiece Reference ]], Table1[CRC STOCK], "Not Found")="YES", "CRC Stock", "Boutique Stock"))</f>
        <v/>
      </c>
      <c r="K464" s="137" t="str">
        <f>IF(OpenPendingCases[[#This Row],[Timepiece Reference ]]="", "", IF(_xlfn.XLOOKUP(OpenPendingCases[[#This Row],[Timepiece Reference ]], Table1[[Timepiece Reference ]], Table1[CRC STOCK], "Not Found")="YES", "CRC Stock", "Boutique Stock"))</f>
        <v/>
      </c>
      <c r="L464" s="143"/>
      <c r="M464" s="141"/>
      <c r="N464" s="137"/>
      <c r="O464" s="134"/>
      <c r="P464" s="94" t="str">
        <f>IFERROR(VLOOKUP(TRIM(O464), Collection!$B$2:$D$1001, 2, FALSE), "")</f>
        <v/>
      </c>
      <c r="Q464" s="190" t="str">
        <f>IFERROR(VLOOKUP(TRIM(O464), Collection!$B$2:$D$1001, 3, FALSE), "")</f>
        <v/>
      </c>
      <c r="R464" s="153" t="str">
        <f t="shared" si="51"/>
        <v/>
      </c>
      <c r="S464" s="151"/>
      <c r="T464" s="158"/>
      <c r="U464" s="137"/>
      <c r="V464" s="137"/>
      <c r="W464" s="156" t="str">
        <f t="shared" si="55"/>
        <v/>
      </c>
      <c r="X464" s="157"/>
      <c r="Y464" s="158"/>
      <c r="Z464" s="158"/>
      <c r="AA464" s="137" t="str">
        <f t="shared" ca="1" si="56"/>
        <v/>
      </c>
      <c r="AB464" s="137" t="str">
        <f t="shared" ca="1" si="52"/>
        <v/>
      </c>
      <c r="AC464" s="160" t="str">
        <f t="shared" ca="1" si="53"/>
        <v/>
      </c>
      <c r="AD464" s="159" t="str">
        <f t="shared" ca="1" si="54"/>
        <v/>
      </c>
      <c r="AE464" s="161"/>
      <c r="AF464" s="161"/>
      <c r="AG464" s="161"/>
      <c r="AH464" s="137"/>
      <c r="AI464" s="164" t="str">
        <f t="shared" si="50"/>
        <v/>
      </c>
      <c r="AJ464" s="164" t="str">
        <f>IF(AND(OpenPendingCases[[#This Row],[Sale Status	]]="Open Sale",OpenPendingCases[[#This Row],[Potential Same Month]]="High"),TEXT(OpenPendingCases[[#This Row],[Request Entry Date]], "[$-en-us]mmmm"),"")</f>
        <v/>
      </c>
      <c r="AK464" s="165" t="str">
        <f>IFERROR(VALUE(SUBSTITUTE(OpenPendingCases[[#This Row],[Price]]," AED","")),"")</f>
        <v/>
      </c>
      <c r="AL464" s="165" t="str">
        <f>IFERROR(VALUE(LEFT(OpenPendingCases[[#This Row],[Price]],FIND(" ",OpenPendingCases[[#This Row],[Price]])-1)),"")</f>
        <v/>
      </c>
      <c r="AM464" s="165" t="str">
        <f>IFERROR(VALUE(_xlfn.TEXTBEFORE(OpenPendingCases[[#This Row],[Price]]," AED")),"")</f>
        <v/>
      </c>
      <c r="AN464" s="165"/>
    </row>
    <row r="465" spans="3:40" ht="18" hidden="1" x14ac:dyDescent="0.35">
      <c r="C465" s="134"/>
      <c r="D465" s="137" t="str">
        <f>IF($U465="Open Sale", IF(MAX($D$4:D464)+1=0, "", MAX($D$4:D464)+1), "")</f>
        <v/>
      </c>
      <c r="E465" s="137" t="str">
        <f>IF($U465="Pending Allocation", IF(MAX($E$4:E464)+1=0, "", MAX($E$4:E464)+1), "")</f>
        <v/>
      </c>
      <c r="F465" s="137"/>
      <c r="G465" s="137"/>
      <c r="H465" s="150"/>
      <c r="I465" s="150"/>
      <c r="J465" s="68" t="str">
        <f>IF(OpenPendingCases[[#This Row],[Timepiece Reference ]]="", "", IF(_xlfn.XLOOKUP(OpenPendingCases[[#This Row],[Timepiece Reference ]], Table1[[Timepiece Reference ]], Table1[CRC STOCK], "Not Found")="YES", "CRC Stock", "Boutique Stock"))</f>
        <v/>
      </c>
      <c r="K465" s="137" t="str">
        <f>IF(OpenPendingCases[[#This Row],[Timepiece Reference ]]="", "", IF(_xlfn.XLOOKUP(OpenPendingCases[[#This Row],[Timepiece Reference ]], Table1[[Timepiece Reference ]], Table1[CRC STOCK], "Not Found")="YES", "CRC Stock", "Boutique Stock"))</f>
        <v/>
      </c>
      <c r="L465" s="143"/>
      <c r="M465" s="141"/>
      <c r="N465" s="137"/>
      <c r="O465" s="134"/>
      <c r="P465" s="94" t="str">
        <f>IFERROR(VLOOKUP(TRIM(O465), Collection!$B$2:$D$1001, 2, FALSE), "")</f>
        <v/>
      </c>
      <c r="Q465" s="190" t="str">
        <f>IFERROR(VLOOKUP(TRIM(O465), Collection!$B$2:$D$1001, 3, FALSE), "")</f>
        <v/>
      </c>
      <c r="R465" s="153" t="str">
        <f t="shared" si="51"/>
        <v/>
      </c>
      <c r="S465" s="151"/>
      <c r="T465" s="158"/>
      <c r="U465" s="137"/>
      <c r="V465" s="137"/>
      <c r="W465" s="156" t="str">
        <f t="shared" si="55"/>
        <v/>
      </c>
      <c r="X465" s="157"/>
      <c r="Y465" s="158"/>
      <c r="Z465" s="158"/>
      <c r="AA465" s="137" t="str">
        <f t="shared" ca="1" si="56"/>
        <v/>
      </c>
      <c r="AB465" s="137" t="str">
        <f t="shared" ca="1" si="52"/>
        <v/>
      </c>
      <c r="AC465" s="160" t="str">
        <f t="shared" ca="1" si="53"/>
        <v/>
      </c>
      <c r="AD465" s="159" t="str">
        <f t="shared" ca="1" si="54"/>
        <v/>
      </c>
      <c r="AE465" s="161"/>
      <c r="AF465" s="161"/>
      <c r="AG465" s="161"/>
      <c r="AH465" s="137"/>
      <c r="AI465" s="164" t="str">
        <f t="shared" si="50"/>
        <v/>
      </c>
      <c r="AJ465" s="164" t="str">
        <f>IF(AND(OpenPendingCases[[#This Row],[Sale Status	]]="Open Sale",OpenPendingCases[[#This Row],[Potential Same Month]]="High"),TEXT(OpenPendingCases[[#This Row],[Request Entry Date]], "[$-en-us]mmmm"),"")</f>
        <v/>
      </c>
      <c r="AK465" s="165" t="str">
        <f>IFERROR(VALUE(SUBSTITUTE(OpenPendingCases[[#This Row],[Price]]," AED","")),"")</f>
        <v/>
      </c>
      <c r="AL465" s="165" t="str">
        <f>IFERROR(VALUE(LEFT(OpenPendingCases[[#This Row],[Price]],FIND(" ",OpenPendingCases[[#This Row],[Price]])-1)),"")</f>
        <v/>
      </c>
      <c r="AM465" s="165" t="str">
        <f>IFERROR(VALUE(_xlfn.TEXTBEFORE(OpenPendingCases[[#This Row],[Price]]," AED")),"")</f>
        <v/>
      </c>
      <c r="AN465" s="165"/>
    </row>
    <row r="466" spans="3:40" ht="18" hidden="1" x14ac:dyDescent="0.35">
      <c r="C466" s="134"/>
      <c r="D466" s="137" t="str">
        <f>IF($U466="Open Sale", IF(MAX($D$4:D465)+1=0, "", MAX($D$4:D465)+1), "")</f>
        <v/>
      </c>
      <c r="E466" s="137" t="str">
        <f>IF($U466="Pending Allocation", IF(MAX($E$4:E465)+1=0, "", MAX($E$4:E465)+1), "")</f>
        <v/>
      </c>
      <c r="F466" s="137"/>
      <c r="G466" s="137"/>
      <c r="H466" s="150"/>
      <c r="I466" s="150"/>
      <c r="J466" s="68" t="str">
        <f>IF(OpenPendingCases[[#This Row],[Timepiece Reference ]]="", "", IF(_xlfn.XLOOKUP(OpenPendingCases[[#This Row],[Timepiece Reference ]], Table1[[Timepiece Reference ]], Table1[CRC STOCK], "Not Found")="YES", "CRC Stock", "Boutique Stock"))</f>
        <v/>
      </c>
      <c r="K466" s="137" t="str">
        <f>IF(OpenPendingCases[[#This Row],[Timepiece Reference ]]="", "", IF(_xlfn.XLOOKUP(OpenPendingCases[[#This Row],[Timepiece Reference ]], Table1[[Timepiece Reference ]], Table1[CRC STOCK], "Not Found")="YES", "CRC Stock", "Boutique Stock"))</f>
        <v/>
      </c>
      <c r="L466" s="143"/>
      <c r="M466" s="141"/>
      <c r="N466" s="137"/>
      <c r="O466" s="134"/>
      <c r="P466" s="94" t="str">
        <f>IFERROR(VLOOKUP(TRIM(O466), Collection!$B$2:$D$1001, 2, FALSE), "")</f>
        <v/>
      </c>
      <c r="Q466" s="190" t="str">
        <f>IFERROR(VLOOKUP(TRIM(O466), Collection!$B$2:$D$1001, 3, FALSE), "")</f>
        <v/>
      </c>
      <c r="R466" s="153" t="str">
        <f t="shared" si="51"/>
        <v/>
      </c>
      <c r="S466" s="151"/>
      <c r="T466" s="158"/>
      <c r="U466" s="137"/>
      <c r="V466" s="137"/>
      <c r="W466" s="156" t="str">
        <f t="shared" si="55"/>
        <v/>
      </c>
      <c r="X466" s="157"/>
      <c r="Y466" s="158"/>
      <c r="Z466" s="158"/>
      <c r="AA466" s="137" t="str">
        <f t="shared" ca="1" si="56"/>
        <v/>
      </c>
      <c r="AB466" s="137" t="str">
        <f t="shared" ca="1" si="52"/>
        <v/>
      </c>
      <c r="AC466" s="160" t="str">
        <f t="shared" ca="1" si="53"/>
        <v/>
      </c>
      <c r="AD466" s="159" t="str">
        <f t="shared" ca="1" si="54"/>
        <v/>
      </c>
      <c r="AE466" s="161"/>
      <c r="AF466" s="161"/>
      <c r="AG466" s="161"/>
      <c r="AH466" s="137"/>
      <c r="AI466" s="164" t="str">
        <f t="shared" si="50"/>
        <v/>
      </c>
      <c r="AJ466" s="164" t="str">
        <f>IF(AND(OpenPendingCases[[#This Row],[Sale Status	]]="Open Sale",OpenPendingCases[[#This Row],[Potential Same Month]]="High"),TEXT(OpenPendingCases[[#This Row],[Request Entry Date]], "[$-en-us]mmmm"),"")</f>
        <v/>
      </c>
      <c r="AK466" s="165" t="str">
        <f>IFERROR(VALUE(SUBSTITUTE(OpenPendingCases[[#This Row],[Price]]," AED","")),"")</f>
        <v/>
      </c>
      <c r="AL466" s="165" t="str">
        <f>IFERROR(VALUE(LEFT(OpenPendingCases[[#This Row],[Price]],FIND(" ",OpenPendingCases[[#This Row],[Price]])-1)),"")</f>
        <v/>
      </c>
      <c r="AM466" s="165" t="str">
        <f>IFERROR(VALUE(_xlfn.TEXTBEFORE(OpenPendingCases[[#This Row],[Price]]," AED")),"")</f>
        <v/>
      </c>
      <c r="AN466" s="165"/>
    </row>
    <row r="467" spans="3:40" ht="18" hidden="1" x14ac:dyDescent="0.35">
      <c r="C467" s="134"/>
      <c r="D467" s="137" t="str">
        <f>IF($U467="Open Sale", IF(MAX($D$4:D466)+1=0, "", MAX($D$4:D466)+1), "")</f>
        <v/>
      </c>
      <c r="E467" s="137" t="str">
        <f>IF($U467="Pending Allocation", IF(MAX($E$4:E466)+1=0, "", MAX($E$4:E466)+1), "")</f>
        <v/>
      </c>
      <c r="F467" s="137"/>
      <c r="G467" s="137"/>
      <c r="H467" s="150"/>
      <c r="I467" s="150"/>
      <c r="J467" s="68" t="str">
        <f>IF(OpenPendingCases[[#This Row],[Timepiece Reference ]]="", "", IF(_xlfn.XLOOKUP(OpenPendingCases[[#This Row],[Timepiece Reference ]], Table1[[Timepiece Reference ]], Table1[CRC STOCK], "Not Found")="YES", "CRC Stock", "Boutique Stock"))</f>
        <v/>
      </c>
      <c r="K467" s="137" t="str">
        <f>IF(OpenPendingCases[[#This Row],[Timepiece Reference ]]="", "", IF(_xlfn.XLOOKUP(OpenPendingCases[[#This Row],[Timepiece Reference ]], Table1[[Timepiece Reference ]], Table1[CRC STOCK], "Not Found")="YES", "CRC Stock", "Boutique Stock"))</f>
        <v/>
      </c>
      <c r="L467" s="143"/>
      <c r="M467" s="141"/>
      <c r="N467" s="137"/>
      <c r="O467" s="134"/>
      <c r="P467" s="94" t="str">
        <f>IFERROR(VLOOKUP(TRIM(O467), Collection!$B$2:$D$1001, 2, FALSE), "")</f>
        <v/>
      </c>
      <c r="Q467" s="190" t="str">
        <f>IFERROR(VLOOKUP(TRIM(O467), Collection!$B$2:$D$1001, 3, FALSE), "")</f>
        <v/>
      </c>
      <c r="R467" s="153" t="str">
        <f t="shared" si="51"/>
        <v/>
      </c>
      <c r="S467" s="151"/>
      <c r="T467" s="158"/>
      <c r="U467" s="137"/>
      <c r="V467" s="137"/>
      <c r="W467" s="156" t="str">
        <f t="shared" si="55"/>
        <v/>
      </c>
      <c r="X467" s="157"/>
      <c r="Y467" s="158"/>
      <c r="Z467" s="158"/>
      <c r="AA467" s="137" t="str">
        <f t="shared" ca="1" si="56"/>
        <v/>
      </c>
      <c r="AB467" s="137" t="str">
        <f t="shared" ca="1" si="52"/>
        <v/>
      </c>
      <c r="AC467" s="160" t="str">
        <f t="shared" ca="1" si="53"/>
        <v/>
      </c>
      <c r="AD467" s="159" t="str">
        <f t="shared" ca="1" si="54"/>
        <v/>
      </c>
      <c r="AE467" s="161"/>
      <c r="AF467" s="161"/>
      <c r="AG467" s="161"/>
      <c r="AH467" s="137"/>
      <c r="AI467" s="164" t="str">
        <f t="shared" si="50"/>
        <v/>
      </c>
      <c r="AJ467" s="164" t="str">
        <f>IF(AND(OpenPendingCases[[#This Row],[Sale Status	]]="Open Sale",OpenPendingCases[[#This Row],[Potential Same Month]]="High"),TEXT(OpenPendingCases[[#This Row],[Request Entry Date]], "[$-en-us]mmmm"),"")</f>
        <v/>
      </c>
      <c r="AK467" s="165" t="str">
        <f>IFERROR(VALUE(SUBSTITUTE(OpenPendingCases[[#This Row],[Price]]," AED","")),"")</f>
        <v/>
      </c>
      <c r="AL467" s="165" t="str">
        <f>IFERROR(VALUE(LEFT(OpenPendingCases[[#This Row],[Price]],FIND(" ",OpenPendingCases[[#This Row],[Price]])-1)),"")</f>
        <v/>
      </c>
      <c r="AM467" s="165" t="str">
        <f>IFERROR(VALUE(_xlfn.TEXTBEFORE(OpenPendingCases[[#This Row],[Price]]," AED")),"")</f>
        <v/>
      </c>
      <c r="AN467" s="165"/>
    </row>
    <row r="468" spans="3:40" ht="18" hidden="1" x14ac:dyDescent="0.35">
      <c r="C468" s="134"/>
      <c r="D468" s="137" t="str">
        <f>IF($U468="Open Sale", IF(MAX($D$4:D467)+1=0, "", MAX($D$4:D467)+1), "")</f>
        <v/>
      </c>
      <c r="E468" s="137" t="str">
        <f>IF($U468="Pending Allocation", IF(MAX($E$4:E467)+1=0, "", MAX($E$4:E467)+1), "")</f>
        <v/>
      </c>
      <c r="F468" s="137"/>
      <c r="G468" s="137"/>
      <c r="H468" s="150"/>
      <c r="I468" s="150"/>
      <c r="J468" s="68" t="str">
        <f>IF(OpenPendingCases[[#This Row],[Timepiece Reference ]]="", "", IF(_xlfn.XLOOKUP(OpenPendingCases[[#This Row],[Timepiece Reference ]], Table1[[Timepiece Reference ]], Table1[CRC STOCK], "Not Found")="YES", "CRC Stock", "Boutique Stock"))</f>
        <v/>
      </c>
      <c r="K468" s="137" t="str">
        <f>IF(OpenPendingCases[[#This Row],[Timepiece Reference ]]="", "", IF(_xlfn.XLOOKUP(OpenPendingCases[[#This Row],[Timepiece Reference ]], Table1[[Timepiece Reference ]], Table1[CRC STOCK], "Not Found")="YES", "CRC Stock", "Boutique Stock"))</f>
        <v/>
      </c>
      <c r="L468" s="143"/>
      <c r="M468" s="141"/>
      <c r="N468" s="137"/>
      <c r="O468" s="134"/>
      <c r="P468" s="94" t="str">
        <f>IFERROR(VLOOKUP(TRIM(O468), Collection!$B$2:$D$1001, 2, FALSE), "")</f>
        <v/>
      </c>
      <c r="Q468" s="190" t="str">
        <f>IFERROR(VLOOKUP(TRIM(O468), Collection!$B$2:$D$1001, 3, FALSE), "")</f>
        <v/>
      </c>
      <c r="R468" s="153" t="str">
        <f t="shared" si="51"/>
        <v/>
      </c>
      <c r="S468" s="151"/>
      <c r="T468" s="158"/>
      <c r="U468" s="137"/>
      <c r="V468" s="137"/>
      <c r="W468" s="156" t="str">
        <f t="shared" si="55"/>
        <v/>
      </c>
      <c r="X468" s="157"/>
      <c r="Y468" s="158"/>
      <c r="Z468" s="158"/>
      <c r="AA468" s="137" t="str">
        <f t="shared" ca="1" si="56"/>
        <v/>
      </c>
      <c r="AB468" s="137" t="str">
        <f t="shared" ca="1" si="52"/>
        <v/>
      </c>
      <c r="AC468" s="160" t="str">
        <f t="shared" ca="1" si="53"/>
        <v/>
      </c>
      <c r="AD468" s="159" t="str">
        <f t="shared" ca="1" si="54"/>
        <v/>
      </c>
      <c r="AE468" s="161"/>
      <c r="AF468" s="161"/>
      <c r="AG468" s="161"/>
      <c r="AH468" s="137"/>
      <c r="AI468" s="164" t="str">
        <f t="shared" si="50"/>
        <v/>
      </c>
      <c r="AJ468" s="164" t="str">
        <f>IF(AND(OpenPendingCases[[#This Row],[Sale Status	]]="Open Sale",OpenPendingCases[[#This Row],[Potential Same Month]]="High"),TEXT(OpenPendingCases[[#This Row],[Request Entry Date]], "[$-en-us]mmmm"),"")</f>
        <v/>
      </c>
      <c r="AK468" s="165" t="str">
        <f>IFERROR(VALUE(SUBSTITUTE(OpenPendingCases[[#This Row],[Price]]," AED","")),"")</f>
        <v/>
      </c>
      <c r="AL468" s="165" t="str">
        <f>IFERROR(VALUE(LEFT(OpenPendingCases[[#This Row],[Price]],FIND(" ",OpenPendingCases[[#This Row],[Price]])-1)),"")</f>
        <v/>
      </c>
      <c r="AM468" s="165" t="str">
        <f>IFERROR(VALUE(_xlfn.TEXTBEFORE(OpenPendingCases[[#This Row],[Price]]," AED")),"")</f>
        <v/>
      </c>
      <c r="AN468" s="165"/>
    </row>
    <row r="469" spans="3:40" ht="18" hidden="1" x14ac:dyDescent="0.35">
      <c r="C469" s="134"/>
      <c r="D469" s="137" t="str">
        <f>IF($U469="Open Sale", IF(MAX($D$4:D468)+1=0, "", MAX($D$4:D468)+1), "")</f>
        <v/>
      </c>
      <c r="E469" s="137" t="str">
        <f>IF($U469="Pending Allocation", IF(MAX($E$4:E468)+1=0, "", MAX($E$4:E468)+1), "")</f>
        <v/>
      </c>
      <c r="F469" s="137"/>
      <c r="G469" s="137"/>
      <c r="H469" s="150"/>
      <c r="I469" s="150"/>
      <c r="J469" s="68" t="str">
        <f>IF(OpenPendingCases[[#This Row],[Timepiece Reference ]]="", "", IF(_xlfn.XLOOKUP(OpenPendingCases[[#This Row],[Timepiece Reference ]], Table1[[Timepiece Reference ]], Table1[CRC STOCK], "Not Found")="YES", "CRC Stock", "Boutique Stock"))</f>
        <v/>
      </c>
      <c r="K469" s="137" t="str">
        <f>IF(OpenPendingCases[[#This Row],[Timepiece Reference ]]="", "", IF(_xlfn.XLOOKUP(OpenPendingCases[[#This Row],[Timepiece Reference ]], Table1[[Timepiece Reference ]], Table1[CRC STOCK], "Not Found")="YES", "CRC Stock", "Boutique Stock"))</f>
        <v/>
      </c>
      <c r="L469" s="143"/>
      <c r="M469" s="141"/>
      <c r="N469" s="137"/>
      <c r="O469" s="134"/>
      <c r="P469" s="94" t="str">
        <f>IFERROR(VLOOKUP(TRIM(O469), Collection!$B$2:$D$1001, 2, FALSE), "")</f>
        <v/>
      </c>
      <c r="Q469" s="190" t="str">
        <f>IFERROR(VLOOKUP(TRIM(O469), Collection!$B$2:$D$1001, 3, FALSE), "")</f>
        <v/>
      </c>
      <c r="R469" s="153" t="str">
        <f t="shared" si="51"/>
        <v/>
      </c>
      <c r="S469" s="151"/>
      <c r="T469" s="158"/>
      <c r="U469" s="137"/>
      <c r="V469" s="137"/>
      <c r="W469" s="156" t="str">
        <f t="shared" si="55"/>
        <v/>
      </c>
      <c r="X469" s="157"/>
      <c r="Y469" s="158"/>
      <c r="Z469" s="158"/>
      <c r="AA469" s="137" t="str">
        <f t="shared" ca="1" si="56"/>
        <v/>
      </c>
      <c r="AB469" s="137" t="str">
        <f t="shared" ca="1" si="52"/>
        <v/>
      </c>
      <c r="AC469" s="160" t="str">
        <f t="shared" ca="1" si="53"/>
        <v/>
      </c>
      <c r="AD469" s="159" t="str">
        <f t="shared" ca="1" si="54"/>
        <v/>
      </c>
      <c r="AE469" s="161"/>
      <c r="AF469" s="161"/>
      <c r="AG469" s="161"/>
      <c r="AH469" s="137"/>
      <c r="AI469" s="164" t="str">
        <f t="shared" si="50"/>
        <v/>
      </c>
      <c r="AJ469" s="164" t="str">
        <f>IF(AND(OpenPendingCases[[#This Row],[Sale Status	]]="Open Sale",OpenPendingCases[[#This Row],[Potential Same Month]]="High"),TEXT(OpenPendingCases[[#This Row],[Request Entry Date]], "[$-en-us]mmmm"),"")</f>
        <v/>
      </c>
      <c r="AK469" s="165" t="str">
        <f>IFERROR(VALUE(SUBSTITUTE(OpenPendingCases[[#This Row],[Price]]," AED","")),"")</f>
        <v/>
      </c>
      <c r="AL469" s="165" t="str">
        <f>IFERROR(VALUE(LEFT(OpenPendingCases[[#This Row],[Price]],FIND(" ",OpenPendingCases[[#This Row],[Price]])-1)),"")</f>
        <v/>
      </c>
      <c r="AM469" s="165" t="str">
        <f>IFERROR(VALUE(_xlfn.TEXTBEFORE(OpenPendingCases[[#This Row],[Price]]," AED")),"")</f>
        <v/>
      </c>
      <c r="AN469" s="165"/>
    </row>
    <row r="470" spans="3:40" ht="18" hidden="1" x14ac:dyDescent="0.35">
      <c r="C470" s="134"/>
      <c r="D470" s="137" t="str">
        <f>IF($U470="Open Sale", IF(MAX($D$4:D469)+1=0, "", MAX($D$4:D469)+1), "")</f>
        <v/>
      </c>
      <c r="E470" s="137" t="str">
        <f>IF($U470="Pending Allocation", IF(MAX($E$4:E469)+1=0, "", MAX($E$4:E469)+1), "")</f>
        <v/>
      </c>
      <c r="F470" s="137"/>
      <c r="G470" s="137"/>
      <c r="H470" s="150"/>
      <c r="I470" s="150"/>
      <c r="J470" s="68" t="str">
        <f>IF(OpenPendingCases[[#This Row],[Timepiece Reference ]]="", "", IF(_xlfn.XLOOKUP(OpenPendingCases[[#This Row],[Timepiece Reference ]], Table1[[Timepiece Reference ]], Table1[CRC STOCK], "Not Found")="YES", "CRC Stock", "Boutique Stock"))</f>
        <v/>
      </c>
      <c r="K470" s="137" t="str">
        <f>IF(OpenPendingCases[[#This Row],[Timepiece Reference ]]="", "", IF(_xlfn.XLOOKUP(OpenPendingCases[[#This Row],[Timepiece Reference ]], Table1[[Timepiece Reference ]], Table1[CRC STOCK], "Not Found")="YES", "CRC Stock", "Boutique Stock"))</f>
        <v/>
      </c>
      <c r="L470" s="143"/>
      <c r="M470" s="141"/>
      <c r="N470" s="137"/>
      <c r="O470" s="134"/>
      <c r="P470" s="94" t="str">
        <f>IFERROR(VLOOKUP(TRIM(O470), Collection!$B$2:$D$1001, 2, FALSE), "")</f>
        <v/>
      </c>
      <c r="Q470" s="190" t="str">
        <f>IFERROR(VLOOKUP(TRIM(O470), Collection!$B$2:$D$1001, 3, FALSE), "")</f>
        <v/>
      </c>
      <c r="R470" s="153" t="str">
        <f t="shared" si="51"/>
        <v/>
      </c>
      <c r="S470" s="151"/>
      <c r="T470" s="158"/>
      <c r="U470" s="137"/>
      <c r="V470" s="137"/>
      <c r="W470" s="156" t="str">
        <f t="shared" si="55"/>
        <v/>
      </c>
      <c r="X470" s="157"/>
      <c r="Y470" s="158"/>
      <c r="Z470" s="158"/>
      <c r="AA470" s="137" t="str">
        <f t="shared" ca="1" si="56"/>
        <v/>
      </c>
      <c r="AB470" s="137" t="str">
        <f t="shared" ca="1" si="52"/>
        <v/>
      </c>
      <c r="AC470" s="160" t="str">
        <f t="shared" ca="1" si="53"/>
        <v/>
      </c>
      <c r="AD470" s="159" t="str">
        <f t="shared" ca="1" si="54"/>
        <v/>
      </c>
      <c r="AE470" s="161"/>
      <c r="AF470" s="161"/>
      <c r="AG470" s="161"/>
      <c r="AH470" s="137"/>
      <c r="AI470" s="164" t="str">
        <f t="shared" ref="AI470:AI533" si="57">IF(I470="","",TEXT(I470, "mmmm yyyy"))</f>
        <v/>
      </c>
      <c r="AJ470" s="164" t="str">
        <f>IF(AND(OpenPendingCases[[#This Row],[Sale Status	]]="Open Sale",OpenPendingCases[[#This Row],[Potential Same Month]]="High"),TEXT(OpenPendingCases[[#This Row],[Request Entry Date]], "[$-en-us]mmmm"),"")</f>
        <v/>
      </c>
      <c r="AK470" s="165" t="str">
        <f>IFERROR(VALUE(SUBSTITUTE(OpenPendingCases[[#This Row],[Price]]," AED","")),"")</f>
        <v/>
      </c>
      <c r="AL470" s="165" t="str">
        <f>IFERROR(VALUE(LEFT(OpenPendingCases[[#This Row],[Price]],FIND(" ",OpenPendingCases[[#This Row],[Price]])-1)),"")</f>
        <v/>
      </c>
      <c r="AM470" s="165" t="str">
        <f>IFERROR(VALUE(_xlfn.TEXTBEFORE(OpenPendingCases[[#This Row],[Price]]," AED")),"")</f>
        <v/>
      </c>
      <c r="AN470" s="165"/>
    </row>
    <row r="471" spans="3:40" ht="18" hidden="1" x14ac:dyDescent="0.35">
      <c r="C471" s="134"/>
      <c r="D471" s="137" t="str">
        <f>IF($U471="Open Sale", IF(MAX($D$4:D470)+1=0, "", MAX($D$4:D470)+1), "")</f>
        <v/>
      </c>
      <c r="E471" s="137" t="str">
        <f>IF($U471="Pending Allocation", IF(MAX($E$4:E470)+1=0, "", MAX($E$4:E470)+1), "")</f>
        <v/>
      </c>
      <c r="F471" s="137"/>
      <c r="G471" s="137"/>
      <c r="H471" s="150"/>
      <c r="I471" s="150"/>
      <c r="J471" s="68" t="str">
        <f>IF(OpenPendingCases[[#This Row],[Timepiece Reference ]]="", "", IF(_xlfn.XLOOKUP(OpenPendingCases[[#This Row],[Timepiece Reference ]], Table1[[Timepiece Reference ]], Table1[CRC STOCK], "Not Found")="YES", "CRC Stock", "Boutique Stock"))</f>
        <v/>
      </c>
      <c r="K471" s="137" t="str">
        <f>IF(OpenPendingCases[[#This Row],[Timepiece Reference ]]="", "", IF(_xlfn.XLOOKUP(OpenPendingCases[[#This Row],[Timepiece Reference ]], Table1[[Timepiece Reference ]], Table1[CRC STOCK], "Not Found")="YES", "CRC Stock", "Boutique Stock"))</f>
        <v/>
      </c>
      <c r="L471" s="143"/>
      <c r="M471" s="141"/>
      <c r="N471" s="137"/>
      <c r="O471" s="134"/>
      <c r="P471" s="94" t="str">
        <f>IFERROR(VLOOKUP(TRIM(O471), Collection!$B$2:$D$1001, 2, FALSE), "")</f>
        <v/>
      </c>
      <c r="Q471" s="190" t="str">
        <f>IFERROR(VLOOKUP(TRIM(O471), Collection!$B$2:$D$1001, 3, FALSE), "")</f>
        <v/>
      </c>
      <c r="R471" s="153" t="str">
        <f t="shared" si="51"/>
        <v/>
      </c>
      <c r="S471" s="151"/>
      <c r="T471" s="158"/>
      <c r="U471" s="137"/>
      <c r="V471" s="137"/>
      <c r="W471" s="156" t="str">
        <f t="shared" si="55"/>
        <v/>
      </c>
      <c r="X471" s="157"/>
      <c r="Y471" s="158"/>
      <c r="Z471" s="158"/>
      <c r="AA471" s="137" t="str">
        <f t="shared" ca="1" si="56"/>
        <v/>
      </c>
      <c r="AB471" s="137" t="str">
        <f t="shared" ca="1" si="52"/>
        <v/>
      </c>
      <c r="AC471" s="160" t="str">
        <f t="shared" ca="1" si="53"/>
        <v/>
      </c>
      <c r="AD471" s="159" t="str">
        <f t="shared" ca="1" si="54"/>
        <v/>
      </c>
      <c r="AE471" s="161"/>
      <c r="AF471" s="161"/>
      <c r="AG471" s="161"/>
      <c r="AH471" s="137"/>
      <c r="AI471" s="164" t="str">
        <f t="shared" si="57"/>
        <v/>
      </c>
      <c r="AJ471" s="164" t="str">
        <f>IF(AND(OpenPendingCases[[#This Row],[Sale Status	]]="Open Sale",OpenPendingCases[[#This Row],[Potential Same Month]]="High"),TEXT(OpenPendingCases[[#This Row],[Request Entry Date]], "[$-en-us]mmmm"),"")</f>
        <v/>
      </c>
      <c r="AK471" s="165" t="str">
        <f>IFERROR(VALUE(SUBSTITUTE(OpenPendingCases[[#This Row],[Price]]," AED","")),"")</f>
        <v/>
      </c>
      <c r="AL471" s="165" t="str">
        <f>IFERROR(VALUE(LEFT(OpenPendingCases[[#This Row],[Price]],FIND(" ",OpenPendingCases[[#This Row],[Price]])-1)),"")</f>
        <v/>
      </c>
      <c r="AM471" s="165" t="str">
        <f>IFERROR(VALUE(_xlfn.TEXTBEFORE(OpenPendingCases[[#This Row],[Price]]," AED")),"")</f>
        <v/>
      </c>
      <c r="AN471" s="165"/>
    </row>
    <row r="472" spans="3:40" ht="18" hidden="1" x14ac:dyDescent="0.35">
      <c r="C472" s="134"/>
      <c r="D472" s="137" t="str">
        <f>IF($U472="Open Sale", IF(MAX($D$4:D471)+1=0, "", MAX($D$4:D471)+1), "")</f>
        <v/>
      </c>
      <c r="E472" s="137" t="str">
        <f>IF($U472="Pending Allocation", IF(MAX($E$4:E471)+1=0, "", MAX($E$4:E471)+1), "")</f>
        <v/>
      </c>
      <c r="F472" s="137"/>
      <c r="G472" s="137"/>
      <c r="H472" s="150"/>
      <c r="I472" s="150"/>
      <c r="J472" s="68" t="str">
        <f>IF(OpenPendingCases[[#This Row],[Timepiece Reference ]]="", "", IF(_xlfn.XLOOKUP(OpenPendingCases[[#This Row],[Timepiece Reference ]], Table1[[Timepiece Reference ]], Table1[CRC STOCK], "Not Found")="YES", "CRC Stock", "Boutique Stock"))</f>
        <v/>
      </c>
      <c r="K472" s="137" t="str">
        <f>IF(OpenPendingCases[[#This Row],[Timepiece Reference ]]="", "", IF(_xlfn.XLOOKUP(OpenPendingCases[[#This Row],[Timepiece Reference ]], Table1[[Timepiece Reference ]], Table1[CRC STOCK], "Not Found")="YES", "CRC Stock", "Boutique Stock"))</f>
        <v/>
      </c>
      <c r="L472" s="143"/>
      <c r="M472" s="141"/>
      <c r="N472" s="137"/>
      <c r="O472" s="134"/>
      <c r="P472" s="94" t="str">
        <f>IFERROR(VLOOKUP(TRIM(O472), Collection!$B$2:$D$1001, 2, FALSE), "")</f>
        <v/>
      </c>
      <c r="Q472" s="190" t="str">
        <f>IFERROR(VLOOKUP(TRIM(O472), Collection!$B$2:$D$1001, 3, FALSE), "")</f>
        <v/>
      </c>
      <c r="R472" s="153" t="str">
        <f t="shared" si="51"/>
        <v/>
      </c>
      <c r="S472" s="151"/>
      <c r="T472" s="158"/>
      <c r="U472" s="137"/>
      <c r="V472" s="137"/>
      <c r="W472" s="156" t="str">
        <f t="shared" si="55"/>
        <v/>
      </c>
      <c r="X472" s="157"/>
      <c r="Y472" s="158"/>
      <c r="Z472" s="158"/>
      <c r="AA472" s="137" t="str">
        <f t="shared" ca="1" si="56"/>
        <v/>
      </c>
      <c r="AB472" s="137" t="str">
        <f t="shared" ca="1" si="52"/>
        <v/>
      </c>
      <c r="AC472" s="160" t="str">
        <f t="shared" ca="1" si="53"/>
        <v/>
      </c>
      <c r="AD472" s="159" t="str">
        <f t="shared" ca="1" si="54"/>
        <v/>
      </c>
      <c r="AE472" s="161"/>
      <c r="AF472" s="161"/>
      <c r="AG472" s="161"/>
      <c r="AH472" s="137"/>
      <c r="AI472" s="164" t="str">
        <f t="shared" si="57"/>
        <v/>
      </c>
      <c r="AJ472" s="164" t="str">
        <f>IF(AND(OpenPendingCases[[#This Row],[Sale Status	]]="Open Sale",OpenPendingCases[[#This Row],[Potential Same Month]]="High"),TEXT(OpenPendingCases[[#This Row],[Request Entry Date]], "[$-en-us]mmmm"),"")</f>
        <v/>
      </c>
      <c r="AK472" s="165" t="str">
        <f>IFERROR(VALUE(SUBSTITUTE(OpenPendingCases[[#This Row],[Price]]," AED","")),"")</f>
        <v/>
      </c>
      <c r="AL472" s="165" t="str">
        <f>IFERROR(VALUE(LEFT(OpenPendingCases[[#This Row],[Price]],FIND(" ",OpenPendingCases[[#This Row],[Price]])-1)),"")</f>
        <v/>
      </c>
      <c r="AM472" s="165" t="str">
        <f>IFERROR(VALUE(_xlfn.TEXTBEFORE(OpenPendingCases[[#This Row],[Price]]," AED")),"")</f>
        <v/>
      </c>
      <c r="AN472" s="165"/>
    </row>
    <row r="473" spans="3:40" ht="18" hidden="1" x14ac:dyDescent="0.35">
      <c r="C473" s="134"/>
      <c r="D473" s="137" t="str">
        <f>IF($U473="Open Sale", IF(MAX($D$4:D472)+1=0, "", MAX($D$4:D472)+1), "")</f>
        <v/>
      </c>
      <c r="E473" s="137" t="str">
        <f>IF($U473="Pending Allocation", IF(MAX($E$4:E472)+1=0, "", MAX($E$4:E472)+1), "")</f>
        <v/>
      </c>
      <c r="F473" s="137"/>
      <c r="G473" s="137"/>
      <c r="H473" s="150"/>
      <c r="I473" s="150"/>
      <c r="J473" s="68" t="str">
        <f>IF(OpenPendingCases[[#This Row],[Timepiece Reference ]]="", "", IF(_xlfn.XLOOKUP(OpenPendingCases[[#This Row],[Timepiece Reference ]], Table1[[Timepiece Reference ]], Table1[CRC STOCK], "Not Found")="YES", "CRC Stock", "Boutique Stock"))</f>
        <v/>
      </c>
      <c r="K473" s="137" t="str">
        <f>IF(OpenPendingCases[[#This Row],[Timepiece Reference ]]="", "", IF(_xlfn.XLOOKUP(OpenPendingCases[[#This Row],[Timepiece Reference ]], Table1[[Timepiece Reference ]], Table1[CRC STOCK], "Not Found")="YES", "CRC Stock", "Boutique Stock"))</f>
        <v/>
      </c>
      <c r="L473" s="143"/>
      <c r="M473" s="141"/>
      <c r="N473" s="137"/>
      <c r="O473" s="134"/>
      <c r="P473" s="94" t="str">
        <f>IFERROR(VLOOKUP(TRIM(O473), Collection!$B$2:$D$1001, 2, FALSE), "")</f>
        <v/>
      </c>
      <c r="Q473" s="190" t="str">
        <f>IFERROR(VLOOKUP(TRIM(O473), Collection!$B$2:$D$1001, 3, FALSE), "")</f>
        <v/>
      </c>
      <c r="R473" s="153" t="str">
        <f t="shared" si="51"/>
        <v/>
      </c>
      <c r="S473" s="151"/>
      <c r="T473" s="158"/>
      <c r="U473" s="137"/>
      <c r="V473" s="137"/>
      <c r="W473" s="156" t="str">
        <f t="shared" si="55"/>
        <v/>
      </c>
      <c r="X473" s="157"/>
      <c r="Y473" s="158"/>
      <c r="Z473" s="158"/>
      <c r="AA473" s="137" t="str">
        <f t="shared" ca="1" si="56"/>
        <v/>
      </c>
      <c r="AB473" s="137" t="str">
        <f t="shared" ca="1" si="52"/>
        <v/>
      </c>
      <c r="AC473" s="160" t="str">
        <f t="shared" ca="1" si="53"/>
        <v/>
      </c>
      <c r="AD473" s="159" t="str">
        <f t="shared" ca="1" si="54"/>
        <v/>
      </c>
      <c r="AE473" s="161"/>
      <c r="AF473" s="161"/>
      <c r="AG473" s="161"/>
      <c r="AH473" s="137"/>
      <c r="AI473" s="164" t="str">
        <f t="shared" si="57"/>
        <v/>
      </c>
      <c r="AJ473" s="164" t="str">
        <f>IF(AND(OpenPendingCases[[#This Row],[Sale Status	]]="Open Sale",OpenPendingCases[[#This Row],[Potential Same Month]]="High"),TEXT(OpenPendingCases[[#This Row],[Request Entry Date]], "[$-en-us]mmmm"),"")</f>
        <v/>
      </c>
      <c r="AK473" s="165" t="str">
        <f>IFERROR(VALUE(SUBSTITUTE(OpenPendingCases[[#This Row],[Price]]," AED","")),"")</f>
        <v/>
      </c>
      <c r="AL473" s="165" t="str">
        <f>IFERROR(VALUE(LEFT(OpenPendingCases[[#This Row],[Price]],FIND(" ",OpenPendingCases[[#This Row],[Price]])-1)),"")</f>
        <v/>
      </c>
      <c r="AM473" s="165" t="str">
        <f>IFERROR(VALUE(_xlfn.TEXTBEFORE(OpenPendingCases[[#This Row],[Price]]," AED")),"")</f>
        <v/>
      </c>
      <c r="AN473" s="165"/>
    </row>
    <row r="474" spans="3:40" ht="18" hidden="1" x14ac:dyDescent="0.35">
      <c r="C474" s="134"/>
      <c r="D474" s="137" t="str">
        <f>IF($U474="Open Sale", IF(MAX($D$4:D473)+1=0, "", MAX($D$4:D473)+1), "")</f>
        <v/>
      </c>
      <c r="E474" s="137" t="str">
        <f>IF($U474="Pending Allocation", IF(MAX($E$4:E473)+1=0, "", MAX($E$4:E473)+1), "")</f>
        <v/>
      </c>
      <c r="F474" s="137"/>
      <c r="G474" s="137"/>
      <c r="H474" s="150"/>
      <c r="I474" s="150"/>
      <c r="J474" s="68" t="str">
        <f>IF(OpenPendingCases[[#This Row],[Timepiece Reference ]]="", "", IF(_xlfn.XLOOKUP(OpenPendingCases[[#This Row],[Timepiece Reference ]], Table1[[Timepiece Reference ]], Table1[CRC STOCK], "Not Found")="YES", "CRC Stock", "Boutique Stock"))</f>
        <v/>
      </c>
      <c r="K474" s="137" t="str">
        <f>IF(OpenPendingCases[[#This Row],[Timepiece Reference ]]="", "", IF(_xlfn.XLOOKUP(OpenPendingCases[[#This Row],[Timepiece Reference ]], Table1[[Timepiece Reference ]], Table1[CRC STOCK], "Not Found")="YES", "CRC Stock", "Boutique Stock"))</f>
        <v/>
      </c>
      <c r="L474" s="143"/>
      <c r="M474" s="141"/>
      <c r="N474" s="137"/>
      <c r="O474" s="134"/>
      <c r="P474" s="94" t="str">
        <f>IFERROR(VLOOKUP(TRIM(O474), Collection!$B$2:$D$1001, 2, FALSE), "")</f>
        <v/>
      </c>
      <c r="Q474" s="190" t="str">
        <f>IFERROR(VLOOKUP(TRIM(O474), Collection!$B$2:$D$1001, 3, FALSE), "")</f>
        <v/>
      </c>
      <c r="R474" s="153" t="str">
        <f t="shared" si="51"/>
        <v/>
      </c>
      <c r="S474" s="151"/>
      <c r="T474" s="158"/>
      <c r="U474" s="137"/>
      <c r="V474" s="137"/>
      <c r="W474" s="156" t="str">
        <f t="shared" si="55"/>
        <v/>
      </c>
      <c r="X474" s="157"/>
      <c r="Y474" s="158"/>
      <c r="Z474" s="158"/>
      <c r="AA474" s="137" t="str">
        <f t="shared" ca="1" si="56"/>
        <v/>
      </c>
      <c r="AB474" s="137" t="str">
        <f t="shared" ca="1" si="52"/>
        <v/>
      </c>
      <c r="AC474" s="160" t="str">
        <f t="shared" ca="1" si="53"/>
        <v/>
      </c>
      <c r="AD474" s="159" t="str">
        <f t="shared" ca="1" si="54"/>
        <v/>
      </c>
      <c r="AE474" s="161"/>
      <c r="AF474" s="161"/>
      <c r="AG474" s="161"/>
      <c r="AH474" s="137"/>
      <c r="AI474" s="164" t="str">
        <f t="shared" si="57"/>
        <v/>
      </c>
      <c r="AJ474" s="164" t="str">
        <f>IF(AND(OpenPendingCases[[#This Row],[Sale Status	]]="Open Sale",OpenPendingCases[[#This Row],[Potential Same Month]]="High"),TEXT(OpenPendingCases[[#This Row],[Request Entry Date]], "[$-en-us]mmmm"),"")</f>
        <v/>
      </c>
      <c r="AK474" s="165" t="str">
        <f>IFERROR(VALUE(SUBSTITUTE(OpenPendingCases[[#This Row],[Price]]," AED","")),"")</f>
        <v/>
      </c>
      <c r="AL474" s="165" t="str">
        <f>IFERROR(VALUE(LEFT(OpenPendingCases[[#This Row],[Price]],FIND(" ",OpenPendingCases[[#This Row],[Price]])-1)),"")</f>
        <v/>
      </c>
      <c r="AM474" s="165" t="str">
        <f>IFERROR(VALUE(_xlfn.TEXTBEFORE(OpenPendingCases[[#This Row],[Price]]," AED")),"")</f>
        <v/>
      </c>
      <c r="AN474" s="165"/>
    </row>
    <row r="475" spans="3:40" ht="18" hidden="1" x14ac:dyDescent="0.35">
      <c r="C475" s="134"/>
      <c r="D475" s="137" t="str">
        <f>IF($U475="Open Sale", IF(MAX($D$4:D474)+1=0, "", MAX($D$4:D474)+1), "")</f>
        <v/>
      </c>
      <c r="E475" s="137" t="str">
        <f>IF($U475="Pending Allocation", IF(MAX($E$4:E474)+1=0, "", MAX($E$4:E474)+1), "")</f>
        <v/>
      </c>
      <c r="F475" s="137"/>
      <c r="G475" s="137"/>
      <c r="H475" s="150"/>
      <c r="I475" s="150"/>
      <c r="J475" s="68" t="str">
        <f>IF(OpenPendingCases[[#This Row],[Timepiece Reference ]]="", "", IF(_xlfn.XLOOKUP(OpenPendingCases[[#This Row],[Timepiece Reference ]], Table1[[Timepiece Reference ]], Table1[CRC STOCK], "Not Found")="YES", "CRC Stock", "Boutique Stock"))</f>
        <v/>
      </c>
      <c r="K475" s="137" t="str">
        <f>IF(OpenPendingCases[[#This Row],[Timepiece Reference ]]="", "", IF(_xlfn.XLOOKUP(OpenPendingCases[[#This Row],[Timepiece Reference ]], Table1[[Timepiece Reference ]], Table1[CRC STOCK], "Not Found")="YES", "CRC Stock", "Boutique Stock"))</f>
        <v/>
      </c>
      <c r="L475" s="143"/>
      <c r="M475" s="141"/>
      <c r="N475" s="137"/>
      <c r="O475" s="134"/>
      <c r="P475" s="94" t="str">
        <f>IFERROR(VLOOKUP(TRIM(O475), Collection!$B$2:$D$1001, 2, FALSE), "")</f>
        <v/>
      </c>
      <c r="Q475" s="190" t="str">
        <f>IFERROR(VLOOKUP(TRIM(O475), Collection!$B$2:$D$1001, 3, FALSE), "")</f>
        <v/>
      </c>
      <c r="R475" s="153" t="str">
        <f t="shared" si="51"/>
        <v/>
      </c>
      <c r="S475" s="151"/>
      <c r="T475" s="158"/>
      <c r="U475" s="137"/>
      <c r="V475" s="137"/>
      <c r="W475" s="156" t="str">
        <f t="shared" si="55"/>
        <v/>
      </c>
      <c r="X475" s="157"/>
      <c r="Y475" s="158"/>
      <c r="Z475" s="158"/>
      <c r="AA475" s="137" t="str">
        <f t="shared" ca="1" si="56"/>
        <v/>
      </c>
      <c r="AB475" s="137" t="str">
        <f t="shared" ca="1" si="52"/>
        <v/>
      </c>
      <c r="AC475" s="160" t="str">
        <f t="shared" ca="1" si="53"/>
        <v/>
      </c>
      <c r="AD475" s="159" t="str">
        <f t="shared" ca="1" si="54"/>
        <v/>
      </c>
      <c r="AE475" s="161"/>
      <c r="AF475" s="161"/>
      <c r="AG475" s="161"/>
      <c r="AH475" s="137"/>
      <c r="AI475" s="164" t="str">
        <f t="shared" si="57"/>
        <v/>
      </c>
      <c r="AJ475" s="164" t="str">
        <f>IF(AND(OpenPendingCases[[#This Row],[Sale Status	]]="Open Sale",OpenPendingCases[[#This Row],[Potential Same Month]]="High"),TEXT(OpenPendingCases[[#This Row],[Request Entry Date]], "[$-en-us]mmmm"),"")</f>
        <v/>
      </c>
      <c r="AK475" s="165" t="str">
        <f>IFERROR(VALUE(SUBSTITUTE(OpenPendingCases[[#This Row],[Price]]," AED","")),"")</f>
        <v/>
      </c>
      <c r="AL475" s="165" t="str">
        <f>IFERROR(VALUE(LEFT(OpenPendingCases[[#This Row],[Price]],FIND(" ",OpenPendingCases[[#This Row],[Price]])-1)),"")</f>
        <v/>
      </c>
      <c r="AM475" s="165" t="str">
        <f>IFERROR(VALUE(_xlfn.TEXTBEFORE(OpenPendingCases[[#This Row],[Price]]," AED")),"")</f>
        <v/>
      </c>
      <c r="AN475" s="165"/>
    </row>
    <row r="476" spans="3:40" ht="18" hidden="1" x14ac:dyDescent="0.35">
      <c r="C476" s="134"/>
      <c r="D476" s="137" t="str">
        <f>IF($U476="Open Sale", IF(MAX($D$4:D475)+1=0, "", MAX($D$4:D475)+1), "")</f>
        <v/>
      </c>
      <c r="E476" s="137" t="str">
        <f>IF($U476="Pending Allocation", IF(MAX($E$4:E475)+1=0, "", MAX($E$4:E475)+1), "")</f>
        <v/>
      </c>
      <c r="F476" s="137"/>
      <c r="G476" s="137"/>
      <c r="H476" s="150"/>
      <c r="I476" s="150"/>
      <c r="J476" s="68" t="str">
        <f>IF(OpenPendingCases[[#This Row],[Timepiece Reference ]]="", "", IF(_xlfn.XLOOKUP(OpenPendingCases[[#This Row],[Timepiece Reference ]], Table1[[Timepiece Reference ]], Table1[CRC STOCK], "Not Found")="YES", "CRC Stock", "Boutique Stock"))</f>
        <v/>
      </c>
      <c r="K476" s="137" t="str">
        <f>IF(OpenPendingCases[[#This Row],[Timepiece Reference ]]="", "", IF(_xlfn.XLOOKUP(OpenPendingCases[[#This Row],[Timepiece Reference ]], Table1[[Timepiece Reference ]], Table1[CRC STOCK], "Not Found")="YES", "CRC Stock", "Boutique Stock"))</f>
        <v/>
      </c>
      <c r="L476" s="143"/>
      <c r="M476" s="141"/>
      <c r="N476" s="137"/>
      <c r="O476" s="134"/>
      <c r="P476" s="94" t="str">
        <f>IFERROR(VLOOKUP(TRIM(O476), Collection!$B$2:$D$1001, 2, FALSE), "")</f>
        <v/>
      </c>
      <c r="Q476" s="190" t="str">
        <f>IFERROR(VLOOKUP(TRIM(O476), Collection!$B$2:$D$1001, 3, FALSE), "")</f>
        <v/>
      </c>
      <c r="R476" s="153" t="str">
        <f t="shared" si="51"/>
        <v/>
      </c>
      <c r="S476" s="151"/>
      <c r="T476" s="158"/>
      <c r="U476" s="137"/>
      <c r="V476" s="137"/>
      <c r="W476" s="156" t="str">
        <f t="shared" si="55"/>
        <v/>
      </c>
      <c r="X476" s="157"/>
      <c r="Y476" s="158"/>
      <c r="Z476" s="158"/>
      <c r="AA476" s="137" t="str">
        <f t="shared" ca="1" si="56"/>
        <v/>
      </c>
      <c r="AB476" s="137" t="str">
        <f t="shared" ca="1" si="52"/>
        <v/>
      </c>
      <c r="AC476" s="160" t="str">
        <f t="shared" ca="1" si="53"/>
        <v/>
      </c>
      <c r="AD476" s="159" t="str">
        <f t="shared" ca="1" si="54"/>
        <v/>
      </c>
      <c r="AE476" s="161"/>
      <c r="AF476" s="161"/>
      <c r="AG476" s="161"/>
      <c r="AH476" s="137"/>
      <c r="AI476" s="164" t="str">
        <f t="shared" si="57"/>
        <v/>
      </c>
      <c r="AJ476" s="164" t="str">
        <f>IF(AND(OpenPendingCases[[#This Row],[Sale Status	]]="Open Sale",OpenPendingCases[[#This Row],[Potential Same Month]]="High"),TEXT(OpenPendingCases[[#This Row],[Request Entry Date]], "[$-en-us]mmmm"),"")</f>
        <v/>
      </c>
      <c r="AK476" s="165" t="str">
        <f>IFERROR(VALUE(SUBSTITUTE(OpenPendingCases[[#This Row],[Price]]," AED","")),"")</f>
        <v/>
      </c>
      <c r="AL476" s="165" t="str">
        <f>IFERROR(VALUE(LEFT(OpenPendingCases[[#This Row],[Price]],FIND(" ",OpenPendingCases[[#This Row],[Price]])-1)),"")</f>
        <v/>
      </c>
      <c r="AM476" s="165" t="str">
        <f>IFERROR(VALUE(_xlfn.TEXTBEFORE(OpenPendingCases[[#This Row],[Price]]," AED")),"")</f>
        <v/>
      </c>
      <c r="AN476" s="165"/>
    </row>
    <row r="477" spans="3:40" ht="18" hidden="1" x14ac:dyDescent="0.35">
      <c r="C477" s="134"/>
      <c r="D477" s="137" t="str">
        <f>IF($U477="Open Sale", IF(MAX($D$4:D476)+1=0, "", MAX($D$4:D476)+1), "")</f>
        <v/>
      </c>
      <c r="E477" s="137" t="str">
        <f>IF($U477="Pending Allocation", IF(MAX($E$4:E476)+1=0, "", MAX($E$4:E476)+1), "")</f>
        <v/>
      </c>
      <c r="F477" s="137"/>
      <c r="G477" s="137"/>
      <c r="H477" s="150"/>
      <c r="I477" s="150"/>
      <c r="J477" s="68" t="str">
        <f>IF(OpenPendingCases[[#This Row],[Timepiece Reference ]]="", "", IF(_xlfn.XLOOKUP(OpenPendingCases[[#This Row],[Timepiece Reference ]], Table1[[Timepiece Reference ]], Table1[CRC STOCK], "Not Found")="YES", "CRC Stock", "Boutique Stock"))</f>
        <v/>
      </c>
      <c r="K477" s="137" t="str">
        <f>IF(OpenPendingCases[[#This Row],[Timepiece Reference ]]="", "", IF(_xlfn.XLOOKUP(OpenPendingCases[[#This Row],[Timepiece Reference ]], Table1[[Timepiece Reference ]], Table1[CRC STOCK], "Not Found")="YES", "CRC Stock", "Boutique Stock"))</f>
        <v/>
      </c>
      <c r="L477" s="143"/>
      <c r="M477" s="141"/>
      <c r="N477" s="137"/>
      <c r="O477" s="134"/>
      <c r="P477" s="94" t="str">
        <f>IFERROR(VLOOKUP(TRIM(O477), Collection!$B$2:$D$1001, 2, FALSE), "")</f>
        <v/>
      </c>
      <c r="Q477" s="190" t="str">
        <f>IFERROR(VLOOKUP(TRIM(O477), Collection!$B$2:$D$1001, 3, FALSE), "")</f>
        <v/>
      </c>
      <c r="R477" s="153" t="str">
        <f t="shared" si="51"/>
        <v/>
      </c>
      <c r="S477" s="151"/>
      <c r="T477" s="158"/>
      <c r="U477" s="137"/>
      <c r="V477" s="137"/>
      <c r="W477" s="156" t="str">
        <f t="shared" si="55"/>
        <v/>
      </c>
      <c r="X477" s="157"/>
      <c r="Y477" s="158"/>
      <c r="Z477" s="158"/>
      <c r="AA477" s="137" t="str">
        <f t="shared" ca="1" si="56"/>
        <v/>
      </c>
      <c r="AB477" s="137" t="str">
        <f t="shared" ca="1" si="52"/>
        <v/>
      </c>
      <c r="AC477" s="160" t="str">
        <f t="shared" ca="1" si="53"/>
        <v/>
      </c>
      <c r="AD477" s="159" t="str">
        <f t="shared" ca="1" si="54"/>
        <v/>
      </c>
      <c r="AE477" s="161"/>
      <c r="AF477" s="161"/>
      <c r="AG477" s="161"/>
      <c r="AH477" s="137"/>
      <c r="AI477" s="164" t="str">
        <f t="shared" si="57"/>
        <v/>
      </c>
      <c r="AJ477" s="164" t="str">
        <f>IF(AND(OpenPendingCases[[#This Row],[Sale Status	]]="Open Sale",OpenPendingCases[[#This Row],[Potential Same Month]]="High"),TEXT(OpenPendingCases[[#This Row],[Request Entry Date]], "[$-en-us]mmmm"),"")</f>
        <v/>
      </c>
      <c r="AK477" s="165" t="str">
        <f>IFERROR(VALUE(SUBSTITUTE(OpenPendingCases[[#This Row],[Price]]," AED","")),"")</f>
        <v/>
      </c>
      <c r="AL477" s="165" t="str">
        <f>IFERROR(VALUE(LEFT(OpenPendingCases[[#This Row],[Price]],FIND(" ",OpenPendingCases[[#This Row],[Price]])-1)),"")</f>
        <v/>
      </c>
      <c r="AM477" s="165" t="str">
        <f>IFERROR(VALUE(_xlfn.TEXTBEFORE(OpenPendingCases[[#This Row],[Price]]," AED")),"")</f>
        <v/>
      </c>
      <c r="AN477" s="165"/>
    </row>
    <row r="478" spans="3:40" ht="18" hidden="1" x14ac:dyDescent="0.35">
      <c r="C478" s="134"/>
      <c r="D478" s="137" t="str">
        <f>IF($U478="Open Sale", IF(MAX($D$4:D477)+1=0, "", MAX($D$4:D477)+1), "")</f>
        <v/>
      </c>
      <c r="E478" s="137" t="str">
        <f>IF($U478="Pending Allocation", IF(MAX($E$4:E477)+1=0, "", MAX($E$4:E477)+1), "")</f>
        <v/>
      </c>
      <c r="F478" s="137"/>
      <c r="G478" s="137"/>
      <c r="H478" s="150"/>
      <c r="I478" s="150"/>
      <c r="J478" s="68" t="str">
        <f>IF(OpenPendingCases[[#This Row],[Timepiece Reference ]]="", "", IF(_xlfn.XLOOKUP(OpenPendingCases[[#This Row],[Timepiece Reference ]], Table1[[Timepiece Reference ]], Table1[CRC STOCK], "Not Found")="YES", "CRC Stock", "Boutique Stock"))</f>
        <v/>
      </c>
      <c r="K478" s="137" t="str">
        <f>IF(OpenPendingCases[[#This Row],[Timepiece Reference ]]="", "", IF(_xlfn.XLOOKUP(OpenPendingCases[[#This Row],[Timepiece Reference ]], Table1[[Timepiece Reference ]], Table1[CRC STOCK], "Not Found")="YES", "CRC Stock", "Boutique Stock"))</f>
        <v/>
      </c>
      <c r="L478" s="143"/>
      <c r="M478" s="141"/>
      <c r="N478" s="137"/>
      <c r="O478" s="134"/>
      <c r="P478" s="94" t="str">
        <f>IFERROR(VLOOKUP(TRIM(O478), Collection!$B$2:$D$1001, 2, FALSE), "")</f>
        <v/>
      </c>
      <c r="Q478" s="190" t="str">
        <f>IFERROR(VLOOKUP(TRIM(O478), Collection!$B$2:$D$1001, 3, FALSE), "")</f>
        <v/>
      </c>
      <c r="R478" s="153" t="str">
        <f t="shared" si="51"/>
        <v/>
      </c>
      <c r="S478" s="151"/>
      <c r="T478" s="158"/>
      <c r="U478" s="137"/>
      <c r="V478" s="137"/>
      <c r="W478" s="156" t="str">
        <f t="shared" si="55"/>
        <v/>
      </c>
      <c r="X478" s="157"/>
      <c r="Y478" s="158"/>
      <c r="Z478" s="158"/>
      <c r="AA478" s="137" t="str">
        <f t="shared" ca="1" si="56"/>
        <v/>
      </c>
      <c r="AB478" s="137" t="str">
        <f t="shared" ca="1" si="52"/>
        <v/>
      </c>
      <c r="AC478" s="160" t="str">
        <f t="shared" ca="1" si="53"/>
        <v/>
      </c>
      <c r="AD478" s="159" t="str">
        <f t="shared" ca="1" si="54"/>
        <v/>
      </c>
      <c r="AE478" s="161"/>
      <c r="AF478" s="161"/>
      <c r="AG478" s="161"/>
      <c r="AH478" s="137"/>
      <c r="AI478" s="164" t="str">
        <f t="shared" si="57"/>
        <v/>
      </c>
      <c r="AJ478" s="164" t="str">
        <f>IF(AND(OpenPendingCases[[#This Row],[Sale Status	]]="Open Sale",OpenPendingCases[[#This Row],[Potential Same Month]]="High"),TEXT(OpenPendingCases[[#This Row],[Request Entry Date]], "[$-en-us]mmmm"),"")</f>
        <v/>
      </c>
      <c r="AK478" s="165" t="str">
        <f>IFERROR(VALUE(SUBSTITUTE(OpenPendingCases[[#This Row],[Price]]," AED","")),"")</f>
        <v/>
      </c>
      <c r="AL478" s="165" t="str">
        <f>IFERROR(VALUE(LEFT(OpenPendingCases[[#This Row],[Price]],FIND(" ",OpenPendingCases[[#This Row],[Price]])-1)),"")</f>
        <v/>
      </c>
      <c r="AM478" s="165" t="str">
        <f>IFERROR(VALUE(_xlfn.TEXTBEFORE(OpenPendingCases[[#This Row],[Price]]," AED")),"")</f>
        <v/>
      </c>
      <c r="AN478" s="165"/>
    </row>
    <row r="479" spans="3:40" ht="18" hidden="1" x14ac:dyDescent="0.35">
      <c r="C479" s="134"/>
      <c r="D479" s="137" t="str">
        <f>IF($U479="Open Sale", IF(MAX($D$4:D478)+1=0, "", MAX($D$4:D478)+1), "")</f>
        <v/>
      </c>
      <c r="E479" s="137" t="str">
        <f>IF($U479="Pending Allocation", IF(MAX($E$4:E478)+1=0, "", MAX($E$4:E478)+1), "")</f>
        <v/>
      </c>
      <c r="F479" s="137"/>
      <c r="G479" s="137"/>
      <c r="H479" s="150"/>
      <c r="I479" s="150"/>
      <c r="J479" s="68" t="str">
        <f>IF(OpenPendingCases[[#This Row],[Timepiece Reference ]]="", "", IF(_xlfn.XLOOKUP(OpenPendingCases[[#This Row],[Timepiece Reference ]], Table1[[Timepiece Reference ]], Table1[CRC STOCK], "Not Found")="YES", "CRC Stock", "Boutique Stock"))</f>
        <v/>
      </c>
      <c r="K479" s="137" t="str">
        <f>IF(OpenPendingCases[[#This Row],[Timepiece Reference ]]="", "", IF(_xlfn.XLOOKUP(OpenPendingCases[[#This Row],[Timepiece Reference ]], Table1[[Timepiece Reference ]], Table1[CRC STOCK], "Not Found")="YES", "CRC Stock", "Boutique Stock"))</f>
        <v/>
      </c>
      <c r="L479" s="143"/>
      <c r="M479" s="141"/>
      <c r="N479" s="137"/>
      <c r="O479" s="134"/>
      <c r="P479" s="94" t="str">
        <f>IFERROR(VLOOKUP(TRIM(O479), Collection!$B$2:$D$1001, 2, FALSE), "")</f>
        <v/>
      </c>
      <c r="Q479" s="190" t="str">
        <f>IFERROR(VLOOKUP(TRIM(O479), Collection!$B$2:$D$1001, 3, FALSE), "")</f>
        <v/>
      </c>
      <c r="R479" s="153" t="str">
        <f t="shared" si="51"/>
        <v/>
      </c>
      <c r="S479" s="151"/>
      <c r="T479" s="158"/>
      <c r="U479" s="137"/>
      <c r="V479" s="137"/>
      <c r="W479" s="156" t="str">
        <f t="shared" si="55"/>
        <v/>
      </c>
      <c r="X479" s="157"/>
      <c r="Y479" s="158"/>
      <c r="Z479" s="158"/>
      <c r="AA479" s="137" t="str">
        <f t="shared" ca="1" si="56"/>
        <v/>
      </c>
      <c r="AB479" s="137" t="str">
        <f t="shared" ca="1" si="52"/>
        <v/>
      </c>
      <c r="AC479" s="160" t="str">
        <f t="shared" ca="1" si="53"/>
        <v/>
      </c>
      <c r="AD479" s="159" t="str">
        <f t="shared" ca="1" si="54"/>
        <v/>
      </c>
      <c r="AE479" s="161"/>
      <c r="AF479" s="161"/>
      <c r="AG479" s="161"/>
      <c r="AH479" s="137"/>
      <c r="AI479" s="164" t="str">
        <f t="shared" si="57"/>
        <v/>
      </c>
      <c r="AJ479" s="164" t="str">
        <f>IF(AND(OpenPendingCases[[#This Row],[Sale Status	]]="Open Sale",OpenPendingCases[[#This Row],[Potential Same Month]]="High"),TEXT(OpenPendingCases[[#This Row],[Request Entry Date]], "[$-en-us]mmmm"),"")</f>
        <v/>
      </c>
      <c r="AK479" s="165" t="str">
        <f>IFERROR(VALUE(SUBSTITUTE(OpenPendingCases[[#This Row],[Price]]," AED","")),"")</f>
        <v/>
      </c>
      <c r="AL479" s="165" t="str">
        <f>IFERROR(VALUE(LEFT(OpenPendingCases[[#This Row],[Price]],FIND(" ",OpenPendingCases[[#This Row],[Price]])-1)),"")</f>
        <v/>
      </c>
      <c r="AM479" s="165" t="str">
        <f>IFERROR(VALUE(_xlfn.TEXTBEFORE(OpenPendingCases[[#This Row],[Price]]," AED")),"")</f>
        <v/>
      </c>
      <c r="AN479" s="165"/>
    </row>
    <row r="480" spans="3:40" ht="18" hidden="1" x14ac:dyDescent="0.35">
      <c r="C480" s="134"/>
      <c r="D480" s="137" t="str">
        <f>IF($U480="Open Sale", IF(MAX($D$4:D479)+1=0, "", MAX($D$4:D479)+1), "")</f>
        <v/>
      </c>
      <c r="E480" s="137" t="str">
        <f>IF($U480="Pending Allocation", IF(MAX($E$4:E479)+1=0, "", MAX($E$4:E479)+1), "")</f>
        <v/>
      </c>
      <c r="F480" s="137"/>
      <c r="G480" s="137"/>
      <c r="H480" s="150"/>
      <c r="I480" s="150"/>
      <c r="J480" s="68" t="str">
        <f>IF(OpenPendingCases[[#This Row],[Timepiece Reference ]]="", "", IF(_xlfn.XLOOKUP(OpenPendingCases[[#This Row],[Timepiece Reference ]], Table1[[Timepiece Reference ]], Table1[CRC STOCK], "Not Found")="YES", "CRC Stock", "Boutique Stock"))</f>
        <v/>
      </c>
      <c r="K480" s="137" t="str">
        <f>IF(OpenPendingCases[[#This Row],[Timepiece Reference ]]="", "", IF(_xlfn.XLOOKUP(OpenPendingCases[[#This Row],[Timepiece Reference ]], Table1[[Timepiece Reference ]], Table1[CRC STOCK], "Not Found")="YES", "CRC Stock", "Boutique Stock"))</f>
        <v/>
      </c>
      <c r="L480" s="143"/>
      <c r="M480" s="141"/>
      <c r="N480" s="137"/>
      <c r="O480" s="134"/>
      <c r="P480" s="94" t="str">
        <f>IFERROR(VLOOKUP(TRIM(O480), Collection!$B$2:$D$1001, 2, FALSE), "")</f>
        <v/>
      </c>
      <c r="Q480" s="190" t="str">
        <f>IFERROR(VLOOKUP(TRIM(O480), Collection!$B$2:$D$1001, 3, FALSE), "")</f>
        <v/>
      </c>
      <c r="R480" s="153" t="str">
        <f t="shared" si="51"/>
        <v/>
      </c>
      <c r="S480" s="151"/>
      <c r="T480" s="158"/>
      <c r="U480" s="137"/>
      <c r="V480" s="137"/>
      <c r="W480" s="156" t="str">
        <f t="shared" si="55"/>
        <v/>
      </c>
      <c r="X480" s="157"/>
      <c r="Y480" s="158"/>
      <c r="Z480" s="158"/>
      <c r="AA480" s="137" t="str">
        <f t="shared" ca="1" si="56"/>
        <v/>
      </c>
      <c r="AB480" s="137" t="str">
        <f t="shared" ca="1" si="52"/>
        <v/>
      </c>
      <c r="AC480" s="160" t="str">
        <f t="shared" ca="1" si="53"/>
        <v/>
      </c>
      <c r="AD480" s="159" t="str">
        <f t="shared" ca="1" si="54"/>
        <v/>
      </c>
      <c r="AE480" s="161"/>
      <c r="AF480" s="161"/>
      <c r="AG480" s="161"/>
      <c r="AH480" s="137"/>
      <c r="AI480" s="164" t="str">
        <f t="shared" si="57"/>
        <v/>
      </c>
      <c r="AJ480" s="164" t="str">
        <f>IF(AND(OpenPendingCases[[#This Row],[Sale Status	]]="Open Sale",OpenPendingCases[[#This Row],[Potential Same Month]]="High"),TEXT(OpenPendingCases[[#This Row],[Request Entry Date]], "[$-en-us]mmmm"),"")</f>
        <v/>
      </c>
      <c r="AK480" s="165" t="str">
        <f>IFERROR(VALUE(SUBSTITUTE(OpenPendingCases[[#This Row],[Price]]," AED","")),"")</f>
        <v/>
      </c>
      <c r="AL480" s="165" t="str">
        <f>IFERROR(VALUE(LEFT(OpenPendingCases[[#This Row],[Price]],FIND(" ",OpenPendingCases[[#This Row],[Price]])-1)),"")</f>
        <v/>
      </c>
      <c r="AM480" s="165" t="str">
        <f>IFERROR(VALUE(_xlfn.TEXTBEFORE(OpenPendingCases[[#This Row],[Price]]," AED")),"")</f>
        <v/>
      </c>
      <c r="AN480" s="165"/>
    </row>
    <row r="481" spans="3:40" ht="18" hidden="1" x14ac:dyDescent="0.35">
      <c r="C481" s="134"/>
      <c r="D481" s="137" t="str">
        <f>IF($U481="Open Sale", IF(MAX($D$4:D480)+1=0, "", MAX($D$4:D480)+1), "")</f>
        <v/>
      </c>
      <c r="E481" s="137" t="str">
        <f>IF($U481="Pending Allocation", IF(MAX($E$4:E480)+1=0, "", MAX($E$4:E480)+1), "")</f>
        <v/>
      </c>
      <c r="F481" s="137"/>
      <c r="G481" s="137"/>
      <c r="H481" s="150"/>
      <c r="I481" s="150"/>
      <c r="J481" s="68" t="str">
        <f>IF(OpenPendingCases[[#This Row],[Timepiece Reference ]]="", "", IF(_xlfn.XLOOKUP(OpenPendingCases[[#This Row],[Timepiece Reference ]], Table1[[Timepiece Reference ]], Table1[CRC STOCK], "Not Found")="YES", "CRC Stock", "Boutique Stock"))</f>
        <v/>
      </c>
      <c r="K481" s="137" t="str">
        <f>IF(OpenPendingCases[[#This Row],[Timepiece Reference ]]="", "", IF(_xlfn.XLOOKUP(OpenPendingCases[[#This Row],[Timepiece Reference ]], Table1[[Timepiece Reference ]], Table1[CRC STOCK], "Not Found")="YES", "CRC Stock", "Boutique Stock"))</f>
        <v/>
      </c>
      <c r="L481" s="143"/>
      <c r="M481" s="141"/>
      <c r="N481" s="137"/>
      <c r="O481" s="134"/>
      <c r="P481" s="94" t="str">
        <f>IFERROR(VLOOKUP(TRIM(O481), Collection!$B$2:$D$1001, 2, FALSE), "")</f>
        <v/>
      </c>
      <c r="Q481" s="190" t="str">
        <f>IFERROR(VLOOKUP(TRIM(O481), Collection!$B$2:$D$1001, 3, FALSE), "")</f>
        <v/>
      </c>
      <c r="R481" s="153" t="str">
        <f t="shared" si="51"/>
        <v/>
      </c>
      <c r="S481" s="151"/>
      <c r="T481" s="158"/>
      <c r="U481" s="137"/>
      <c r="V481" s="137"/>
      <c r="W481" s="156" t="str">
        <f t="shared" si="55"/>
        <v/>
      </c>
      <c r="X481" s="157"/>
      <c r="Y481" s="158"/>
      <c r="Z481" s="158"/>
      <c r="AA481" s="137" t="str">
        <f t="shared" ca="1" si="56"/>
        <v/>
      </c>
      <c r="AB481" s="137" t="str">
        <f t="shared" ca="1" si="52"/>
        <v/>
      </c>
      <c r="AC481" s="160" t="str">
        <f t="shared" ca="1" si="53"/>
        <v/>
      </c>
      <c r="AD481" s="159" t="str">
        <f t="shared" ca="1" si="54"/>
        <v/>
      </c>
      <c r="AE481" s="161"/>
      <c r="AF481" s="161"/>
      <c r="AG481" s="161"/>
      <c r="AH481" s="137"/>
      <c r="AI481" s="164" t="str">
        <f t="shared" si="57"/>
        <v/>
      </c>
      <c r="AJ481" s="164" t="str">
        <f>IF(AND(OpenPendingCases[[#This Row],[Sale Status	]]="Open Sale",OpenPendingCases[[#This Row],[Potential Same Month]]="High"),TEXT(OpenPendingCases[[#This Row],[Request Entry Date]], "[$-en-us]mmmm"),"")</f>
        <v/>
      </c>
      <c r="AK481" s="165" t="str">
        <f>IFERROR(VALUE(SUBSTITUTE(OpenPendingCases[[#This Row],[Price]]," AED","")),"")</f>
        <v/>
      </c>
      <c r="AL481" s="165" t="str">
        <f>IFERROR(VALUE(LEFT(OpenPendingCases[[#This Row],[Price]],FIND(" ",OpenPendingCases[[#This Row],[Price]])-1)),"")</f>
        <v/>
      </c>
      <c r="AM481" s="165" t="str">
        <f>IFERROR(VALUE(_xlfn.TEXTBEFORE(OpenPendingCases[[#This Row],[Price]]," AED")),"")</f>
        <v/>
      </c>
      <c r="AN481" s="165"/>
    </row>
    <row r="482" spans="3:40" ht="18" hidden="1" x14ac:dyDescent="0.35">
      <c r="C482" s="134"/>
      <c r="D482" s="137" t="str">
        <f>IF($U482="Open Sale", IF(MAX($D$4:D481)+1=0, "", MAX($D$4:D481)+1), "")</f>
        <v/>
      </c>
      <c r="E482" s="137" t="str">
        <f>IF($U482="Pending Allocation", IF(MAX($E$4:E481)+1=0, "", MAX($E$4:E481)+1), "")</f>
        <v/>
      </c>
      <c r="F482" s="137"/>
      <c r="G482" s="137"/>
      <c r="H482" s="150"/>
      <c r="I482" s="150"/>
      <c r="J482" s="68" t="str">
        <f>IF(OpenPendingCases[[#This Row],[Timepiece Reference ]]="", "", IF(_xlfn.XLOOKUP(OpenPendingCases[[#This Row],[Timepiece Reference ]], Table1[[Timepiece Reference ]], Table1[CRC STOCK], "Not Found")="YES", "CRC Stock", "Boutique Stock"))</f>
        <v/>
      </c>
      <c r="K482" s="137" t="str">
        <f>IF(OpenPendingCases[[#This Row],[Timepiece Reference ]]="", "", IF(_xlfn.XLOOKUP(OpenPendingCases[[#This Row],[Timepiece Reference ]], Table1[[Timepiece Reference ]], Table1[CRC STOCK], "Not Found")="YES", "CRC Stock", "Boutique Stock"))</f>
        <v/>
      </c>
      <c r="L482" s="143"/>
      <c r="M482" s="141"/>
      <c r="N482" s="137"/>
      <c r="O482" s="134"/>
      <c r="P482" s="94" t="str">
        <f>IFERROR(VLOOKUP(TRIM(O482), Collection!$B$2:$D$1001, 2, FALSE), "")</f>
        <v/>
      </c>
      <c r="Q482" s="190" t="str">
        <f>IFERROR(VLOOKUP(TRIM(O482), Collection!$B$2:$D$1001, 3, FALSE), "")</f>
        <v/>
      </c>
      <c r="R482" s="153" t="str">
        <f t="shared" si="51"/>
        <v/>
      </c>
      <c r="S482" s="151"/>
      <c r="T482" s="158"/>
      <c r="U482" s="137"/>
      <c r="V482" s="137"/>
      <c r="W482" s="156" t="str">
        <f t="shared" si="55"/>
        <v/>
      </c>
      <c r="X482" s="157"/>
      <c r="Y482" s="158"/>
      <c r="Z482" s="158"/>
      <c r="AA482" s="137" t="str">
        <f t="shared" ca="1" si="56"/>
        <v/>
      </c>
      <c r="AB482" s="137" t="str">
        <f t="shared" ca="1" si="52"/>
        <v/>
      </c>
      <c r="AC482" s="160" t="str">
        <f t="shared" ca="1" si="53"/>
        <v/>
      </c>
      <c r="AD482" s="159" t="str">
        <f t="shared" ca="1" si="54"/>
        <v/>
      </c>
      <c r="AE482" s="161"/>
      <c r="AF482" s="161"/>
      <c r="AG482" s="161"/>
      <c r="AH482" s="137"/>
      <c r="AI482" s="164" t="str">
        <f t="shared" si="57"/>
        <v/>
      </c>
      <c r="AJ482" s="164" t="str">
        <f>IF(AND(OpenPendingCases[[#This Row],[Sale Status	]]="Open Sale",OpenPendingCases[[#This Row],[Potential Same Month]]="High"),TEXT(OpenPendingCases[[#This Row],[Request Entry Date]], "[$-en-us]mmmm"),"")</f>
        <v/>
      </c>
      <c r="AK482" s="165" t="str">
        <f>IFERROR(VALUE(SUBSTITUTE(OpenPendingCases[[#This Row],[Price]]," AED","")),"")</f>
        <v/>
      </c>
      <c r="AL482" s="165" t="str">
        <f>IFERROR(VALUE(LEFT(OpenPendingCases[[#This Row],[Price]],FIND(" ",OpenPendingCases[[#This Row],[Price]])-1)),"")</f>
        <v/>
      </c>
      <c r="AM482" s="165" t="str">
        <f>IFERROR(VALUE(_xlfn.TEXTBEFORE(OpenPendingCases[[#This Row],[Price]]," AED")),"")</f>
        <v/>
      </c>
      <c r="AN482" s="165"/>
    </row>
    <row r="483" spans="3:40" ht="18" hidden="1" x14ac:dyDescent="0.35">
      <c r="C483" s="134"/>
      <c r="D483" s="137" t="str">
        <f>IF($U483="Open Sale", IF(MAX($D$4:D482)+1=0, "", MAX($D$4:D482)+1), "")</f>
        <v/>
      </c>
      <c r="E483" s="137" t="str">
        <f>IF($U483="Pending Allocation", IF(MAX($E$4:E482)+1=0, "", MAX($E$4:E482)+1), "")</f>
        <v/>
      </c>
      <c r="F483" s="137"/>
      <c r="G483" s="137"/>
      <c r="H483" s="150"/>
      <c r="I483" s="150"/>
      <c r="J483" s="68" t="str">
        <f>IF(OpenPendingCases[[#This Row],[Timepiece Reference ]]="", "", IF(_xlfn.XLOOKUP(OpenPendingCases[[#This Row],[Timepiece Reference ]], Table1[[Timepiece Reference ]], Table1[CRC STOCK], "Not Found")="YES", "CRC Stock", "Boutique Stock"))</f>
        <v/>
      </c>
      <c r="K483" s="137" t="str">
        <f>IF(OpenPendingCases[[#This Row],[Timepiece Reference ]]="", "", IF(_xlfn.XLOOKUP(OpenPendingCases[[#This Row],[Timepiece Reference ]], Table1[[Timepiece Reference ]], Table1[CRC STOCK], "Not Found")="YES", "CRC Stock", "Boutique Stock"))</f>
        <v/>
      </c>
      <c r="L483" s="143"/>
      <c r="M483" s="141"/>
      <c r="N483" s="137"/>
      <c r="O483" s="134"/>
      <c r="P483" s="94" t="str">
        <f>IFERROR(VLOOKUP(TRIM(O483), Collection!$B$2:$D$1001, 2, FALSE), "")</f>
        <v/>
      </c>
      <c r="Q483" s="190" t="str">
        <f>IFERROR(VLOOKUP(TRIM(O483), Collection!$B$2:$D$1001, 3, FALSE), "")</f>
        <v/>
      </c>
      <c r="R483" s="153" t="str">
        <f t="shared" si="51"/>
        <v/>
      </c>
      <c r="S483" s="151"/>
      <c r="T483" s="158"/>
      <c r="U483" s="137"/>
      <c r="V483" s="137"/>
      <c r="W483" s="156" t="str">
        <f t="shared" si="55"/>
        <v/>
      </c>
      <c r="X483" s="157"/>
      <c r="Y483" s="158"/>
      <c r="Z483" s="158"/>
      <c r="AA483" s="137" t="str">
        <f t="shared" ca="1" si="56"/>
        <v/>
      </c>
      <c r="AB483" s="137" t="str">
        <f t="shared" ca="1" si="52"/>
        <v/>
      </c>
      <c r="AC483" s="160" t="str">
        <f t="shared" ca="1" si="53"/>
        <v/>
      </c>
      <c r="AD483" s="159" t="str">
        <f t="shared" ca="1" si="54"/>
        <v/>
      </c>
      <c r="AE483" s="161"/>
      <c r="AF483" s="161"/>
      <c r="AG483" s="161"/>
      <c r="AH483" s="137"/>
      <c r="AI483" s="164" t="str">
        <f t="shared" si="57"/>
        <v/>
      </c>
      <c r="AJ483" s="164" t="str">
        <f>IF(AND(OpenPendingCases[[#This Row],[Sale Status	]]="Open Sale",OpenPendingCases[[#This Row],[Potential Same Month]]="High"),TEXT(OpenPendingCases[[#This Row],[Request Entry Date]], "[$-en-us]mmmm"),"")</f>
        <v/>
      </c>
      <c r="AK483" s="165" t="str">
        <f>IFERROR(VALUE(SUBSTITUTE(OpenPendingCases[[#This Row],[Price]]," AED","")),"")</f>
        <v/>
      </c>
      <c r="AL483" s="165" t="str">
        <f>IFERROR(VALUE(LEFT(OpenPendingCases[[#This Row],[Price]],FIND(" ",OpenPendingCases[[#This Row],[Price]])-1)),"")</f>
        <v/>
      </c>
      <c r="AM483" s="165" t="str">
        <f>IFERROR(VALUE(_xlfn.TEXTBEFORE(OpenPendingCases[[#This Row],[Price]]," AED")),"")</f>
        <v/>
      </c>
      <c r="AN483" s="165"/>
    </row>
    <row r="484" spans="3:40" ht="18" hidden="1" x14ac:dyDescent="0.35">
      <c r="C484" s="134"/>
      <c r="D484" s="137" t="str">
        <f>IF($U484="Open Sale", IF(MAX($D$4:D483)+1=0, "", MAX($D$4:D483)+1), "")</f>
        <v/>
      </c>
      <c r="E484" s="137" t="str">
        <f>IF($U484="Pending Allocation", IF(MAX($E$4:E483)+1=0, "", MAX($E$4:E483)+1), "")</f>
        <v/>
      </c>
      <c r="F484" s="137"/>
      <c r="G484" s="137"/>
      <c r="H484" s="150"/>
      <c r="I484" s="150"/>
      <c r="J484" s="68" t="str">
        <f>IF(OpenPendingCases[[#This Row],[Timepiece Reference ]]="", "", IF(_xlfn.XLOOKUP(OpenPendingCases[[#This Row],[Timepiece Reference ]], Table1[[Timepiece Reference ]], Table1[CRC STOCK], "Not Found")="YES", "CRC Stock", "Boutique Stock"))</f>
        <v/>
      </c>
      <c r="K484" s="137" t="str">
        <f>IF(OpenPendingCases[[#This Row],[Timepiece Reference ]]="", "", IF(_xlfn.XLOOKUP(OpenPendingCases[[#This Row],[Timepiece Reference ]], Table1[[Timepiece Reference ]], Table1[CRC STOCK], "Not Found")="YES", "CRC Stock", "Boutique Stock"))</f>
        <v/>
      </c>
      <c r="L484" s="143"/>
      <c r="M484" s="141"/>
      <c r="N484" s="137"/>
      <c r="O484" s="134"/>
      <c r="P484" s="94" t="str">
        <f>IFERROR(VLOOKUP(TRIM(O484), Collection!$B$2:$D$1001, 2, FALSE), "")</f>
        <v/>
      </c>
      <c r="Q484" s="190" t="str">
        <f>IFERROR(VLOOKUP(TRIM(O484), Collection!$B$2:$D$1001, 3, FALSE), "")</f>
        <v/>
      </c>
      <c r="R484" s="153" t="str">
        <f t="shared" si="51"/>
        <v/>
      </c>
      <c r="S484" s="151"/>
      <c r="T484" s="158"/>
      <c r="U484" s="137"/>
      <c r="V484" s="137"/>
      <c r="W484" s="156" t="str">
        <f t="shared" si="55"/>
        <v/>
      </c>
      <c r="X484" s="157"/>
      <c r="Y484" s="158"/>
      <c r="Z484" s="158"/>
      <c r="AA484" s="137" t="str">
        <f t="shared" ca="1" si="56"/>
        <v/>
      </c>
      <c r="AB484" s="137" t="str">
        <f t="shared" ca="1" si="52"/>
        <v/>
      </c>
      <c r="AC484" s="160" t="str">
        <f t="shared" ca="1" si="53"/>
        <v/>
      </c>
      <c r="AD484" s="159" t="str">
        <f t="shared" ca="1" si="54"/>
        <v/>
      </c>
      <c r="AE484" s="161"/>
      <c r="AF484" s="161"/>
      <c r="AG484" s="161"/>
      <c r="AH484" s="137"/>
      <c r="AI484" s="164" t="str">
        <f t="shared" si="57"/>
        <v/>
      </c>
      <c r="AJ484" s="164" t="str">
        <f>IF(AND(OpenPendingCases[[#This Row],[Sale Status	]]="Open Sale",OpenPendingCases[[#This Row],[Potential Same Month]]="High"),TEXT(OpenPendingCases[[#This Row],[Request Entry Date]], "[$-en-us]mmmm"),"")</f>
        <v/>
      </c>
      <c r="AK484" s="165" t="str">
        <f>IFERROR(VALUE(SUBSTITUTE(OpenPendingCases[[#This Row],[Price]]," AED","")),"")</f>
        <v/>
      </c>
      <c r="AL484" s="165" t="str">
        <f>IFERROR(VALUE(LEFT(OpenPendingCases[[#This Row],[Price]],FIND(" ",OpenPendingCases[[#This Row],[Price]])-1)),"")</f>
        <v/>
      </c>
      <c r="AM484" s="165" t="str">
        <f>IFERROR(VALUE(_xlfn.TEXTBEFORE(OpenPendingCases[[#This Row],[Price]]," AED")),"")</f>
        <v/>
      </c>
      <c r="AN484" s="165"/>
    </row>
    <row r="485" spans="3:40" ht="18" hidden="1" x14ac:dyDescent="0.35">
      <c r="C485" s="134"/>
      <c r="D485" s="137" t="str">
        <f>IF($U485="Open Sale", IF(MAX($D$4:D484)+1=0, "", MAX($D$4:D484)+1), "")</f>
        <v/>
      </c>
      <c r="E485" s="137" t="str">
        <f>IF($U485="Pending Allocation", IF(MAX($E$4:E484)+1=0, "", MAX($E$4:E484)+1), "")</f>
        <v/>
      </c>
      <c r="F485" s="137"/>
      <c r="G485" s="137"/>
      <c r="H485" s="150"/>
      <c r="I485" s="150"/>
      <c r="J485" s="68" t="str">
        <f>IF(OpenPendingCases[[#This Row],[Timepiece Reference ]]="", "", IF(_xlfn.XLOOKUP(OpenPendingCases[[#This Row],[Timepiece Reference ]], Table1[[Timepiece Reference ]], Table1[CRC STOCK], "Not Found")="YES", "CRC Stock", "Boutique Stock"))</f>
        <v/>
      </c>
      <c r="K485" s="137" t="str">
        <f>IF(OpenPendingCases[[#This Row],[Timepiece Reference ]]="", "", IF(_xlfn.XLOOKUP(OpenPendingCases[[#This Row],[Timepiece Reference ]], Table1[[Timepiece Reference ]], Table1[CRC STOCK], "Not Found")="YES", "CRC Stock", "Boutique Stock"))</f>
        <v/>
      </c>
      <c r="L485" s="143"/>
      <c r="M485" s="141"/>
      <c r="N485" s="137"/>
      <c r="O485" s="134"/>
      <c r="P485" s="94" t="str">
        <f>IFERROR(VLOOKUP(TRIM(O485), Collection!$B$2:$D$1001, 2, FALSE), "")</f>
        <v/>
      </c>
      <c r="Q485" s="190" t="str">
        <f>IFERROR(VLOOKUP(TRIM(O485), Collection!$B$2:$D$1001, 3, FALSE), "")</f>
        <v/>
      </c>
      <c r="R485" s="153" t="str">
        <f t="shared" si="51"/>
        <v/>
      </c>
      <c r="S485" s="151"/>
      <c r="T485" s="158"/>
      <c r="U485" s="137"/>
      <c r="V485" s="137"/>
      <c r="W485" s="156" t="str">
        <f t="shared" si="55"/>
        <v/>
      </c>
      <c r="X485" s="157"/>
      <c r="Y485" s="158"/>
      <c r="Z485" s="158"/>
      <c r="AA485" s="137" t="str">
        <f t="shared" ca="1" si="56"/>
        <v/>
      </c>
      <c r="AB485" s="137" t="str">
        <f t="shared" ca="1" si="52"/>
        <v/>
      </c>
      <c r="AC485" s="160" t="str">
        <f t="shared" ca="1" si="53"/>
        <v/>
      </c>
      <c r="AD485" s="159" t="str">
        <f t="shared" ca="1" si="54"/>
        <v/>
      </c>
      <c r="AE485" s="161"/>
      <c r="AF485" s="161"/>
      <c r="AG485" s="161"/>
      <c r="AH485" s="137"/>
      <c r="AI485" s="164" t="str">
        <f t="shared" si="57"/>
        <v/>
      </c>
      <c r="AJ485" s="164" t="str">
        <f>IF(AND(OpenPendingCases[[#This Row],[Sale Status	]]="Open Sale",OpenPendingCases[[#This Row],[Potential Same Month]]="High"),TEXT(OpenPendingCases[[#This Row],[Request Entry Date]], "[$-en-us]mmmm"),"")</f>
        <v/>
      </c>
      <c r="AK485" s="165" t="str">
        <f>IFERROR(VALUE(SUBSTITUTE(OpenPendingCases[[#This Row],[Price]]," AED","")),"")</f>
        <v/>
      </c>
      <c r="AL485" s="165" t="str">
        <f>IFERROR(VALUE(LEFT(OpenPendingCases[[#This Row],[Price]],FIND(" ",OpenPendingCases[[#This Row],[Price]])-1)),"")</f>
        <v/>
      </c>
      <c r="AM485" s="165" t="str">
        <f>IFERROR(VALUE(_xlfn.TEXTBEFORE(OpenPendingCases[[#This Row],[Price]]," AED")),"")</f>
        <v/>
      </c>
      <c r="AN485" s="165"/>
    </row>
    <row r="486" spans="3:40" ht="18" hidden="1" x14ac:dyDescent="0.35">
      <c r="C486" s="134"/>
      <c r="D486" s="137" t="str">
        <f>IF($U486="Open Sale", IF(MAX($D$4:D485)+1=0, "", MAX($D$4:D485)+1), "")</f>
        <v/>
      </c>
      <c r="E486" s="137" t="str">
        <f>IF($U486="Pending Allocation", IF(MAX($E$4:E485)+1=0, "", MAX($E$4:E485)+1), "")</f>
        <v/>
      </c>
      <c r="F486" s="137"/>
      <c r="G486" s="137"/>
      <c r="H486" s="150"/>
      <c r="I486" s="150"/>
      <c r="J486" s="68" t="str">
        <f>IF(OpenPendingCases[[#This Row],[Timepiece Reference ]]="", "", IF(_xlfn.XLOOKUP(OpenPendingCases[[#This Row],[Timepiece Reference ]], Table1[[Timepiece Reference ]], Table1[CRC STOCK], "Not Found")="YES", "CRC Stock", "Boutique Stock"))</f>
        <v/>
      </c>
      <c r="K486" s="137" t="str">
        <f>IF(OpenPendingCases[[#This Row],[Timepiece Reference ]]="", "", IF(_xlfn.XLOOKUP(OpenPendingCases[[#This Row],[Timepiece Reference ]], Table1[[Timepiece Reference ]], Table1[CRC STOCK], "Not Found")="YES", "CRC Stock", "Boutique Stock"))</f>
        <v/>
      </c>
      <c r="L486" s="143"/>
      <c r="M486" s="141"/>
      <c r="N486" s="137"/>
      <c r="O486" s="134"/>
      <c r="P486" s="94" t="str">
        <f>IFERROR(VLOOKUP(TRIM(O486), Collection!$B$2:$D$1001, 2, FALSE), "")</f>
        <v/>
      </c>
      <c r="Q486" s="190" t="str">
        <f>IFERROR(VLOOKUP(TRIM(O486), Collection!$B$2:$D$1001, 3, FALSE), "")</f>
        <v/>
      </c>
      <c r="R486" s="153" t="str">
        <f t="shared" si="51"/>
        <v/>
      </c>
      <c r="S486" s="151"/>
      <c r="T486" s="158"/>
      <c r="U486" s="137"/>
      <c r="V486" s="137"/>
      <c r="W486" s="156" t="str">
        <f t="shared" si="55"/>
        <v/>
      </c>
      <c r="X486" s="157"/>
      <c r="Y486" s="158"/>
      <c r="Z486" s="158"/>
      <c r="AA486" s="137" t="str">
        <f t="shared" ca="1" si="56"/>
        <v/>
      </c>
      <c r="AB486" s="137" t="str">
        <f t="shared" ca="1" si="52"/>
        <v/>
      </c>
      <c r="AC486" s="160" t="str">
        <f t="shared" ca="1" si="53"/>
        <v/>
      </c>
      <c r="AD486" s="159" t="str">
        <f t="shared" ca="1" si="54"/>
        <v/>
      </c>
      <c r="AE486" s="161"/>
      <c r="AF486" s="161"/>
      <c r="AG486" s="161"/>
      <c r="AH486" s="137"/>
      <c r="AI486" s="164" t="str">
        <f t="shared" si="57"/>
        <v/>
      </c>
      <c r="AJ486" s="164" t="str">
        <f>IF(AND(OpenPendingCases[[#This Row],[Sale Status	]]="Open Sale",OpenPendingCases[[#This Row],[Potential Same Month]]="High"),TEXT(OpenPendingCases[[#This Row],[Request Entry Date]], "[$-en-us]mmmm"),"")</f>
        <v/>
      </c>
      <c r="AK486" s="165" t="str">
        <f>IFERROR(VALUE(SUBSTITUTE(OpenPendingCases[[#This Row],[Price]]," AED","")),"")</f>
        <v/>
      </c>
      <c r="AL486" s="165" t="str">
        <f>IFERROR(VALUE(LEFT(OpenPendingCases[[#This Row],[Price]],FIND(" ",OpenPendingCases[[#This Row],[Price]])-1)),"")</f>
        <v/>
      </c>
      <c r="AM486" s="165" t="str">
        <f>IFERROR(VALUE(_xlfn.TEXTBEFORE(OpenPendingCases[[#This Row],[Price]]," AED")),"")</f>
        <v/>
      </c>
      <c r="AN486" s="165"/>
    </row>
    <row r="487" spans="3:40" ht="18" hidden="1" x14ac:dyDescent="0.35">
      <c r="C487" s="134"/>
      <c r="D487" s="137" t="str">
        <f>IF($U487="Open Sale", IF(MAX($D$4:D486)+1=0, "", MAX($D$4:D486)+1), "")</f>
        <v/>
      </c>
      <c r="E487" s="137" t="str">
        <f>IF($U487="Pending Allocation", IF(MAX($E$4:E486)+1=0, "", MAX($E$4:E486)+1), "")</f>
        <v/>
      </c>
      <c r="F487" s="137"/>
      <c r="G487" s="137"/>
      <c r="H487" s="150"/>
      <c r="I487" s="150"/>
      <c r="J487" s="68" t="str">
        <f>IF(OpenPendingCases[[#This Row],[Timepiece Reference ]]="", "", IF(_xlfn.XLOOKUP(OpenPendingCases[[#This Row],[Timepiece Reference ]], Table1[[Timepiece Reference ]], Table1[CRC STOCK], "Not Found")="YES", "CRC Stock", "Boutique Stock"))</f>
        <v/>
      </c>
      <c r="K487" s="137" t="str">
        <f>IF(OpenPendingCases[[#This Row],[Timepiece Reference ]]="", "", IF(_xlfn.XLOOKUP(OpenPendingCases[[#This Row],[Timepiece Reference ]], Table1[[Timepiece Reference ]], Table1[CRC STOCK], "Not Found")="YES", "CRC Stock", "Boutique Stock"))</f>
        <v/>
      </c>
      <c r="L487" s="143"/>
      <c r="M487" s="141"/>
      <c r="N487" s="137"/>
      <c r="O487" s="134"/>
      <c r="P487" s="94" t="str">
        <f>IFERROR(VLOOKUP(TRIM(O487), Collection!$B$2:$D$1001, 2, FALSE), "")</f>
        <v/>
      </c>
      <c r="Q487" s="190" t="str">
        <f>IFERROR(VLOOKUP(TRIM(O487), Collection!$B$2:$D$1001, 3, FALSE), "")</f>
        <v/>
      </c>
      <c r="R487" s="153" t="str">
        <f t="shared" si="51"/>
        <v/>
      </c>
      <c r="S487" s="151"/>
      <c r="T487" s="158"/>
      <c r="U487" s="137"/>
      <c r="V487" s="137"/>
      <c r="W487" s="156" t="str">
        <f t="shared" si="55"/>
        <v/>
      </c>
      <c r="X487" s="157"/>
      <c r="Y487" s="158"/>
      <c r="Z487" s="158"/>
      <c r="AA487" s="137" t="str">
        <f t="shared" ca="1" si="56"/>
        <v/>
      </c>
      <c r="AB487" s="137" t="str">
        <f t="shared" ca="1" si="52"/>
        <v/>
      </c>
      <c r="AC487" s="160" t="str">
        <f t="shared" ca="1" si="53"/>
        <v/>
      </c>
      <c r="AD487" s="159" t="str">
        <f t="shared" ca="1" si="54"/>
        <v/>
      </c>
      <c r="AE487" s="161"/>
      <c r="AF487" s="161"/>
      <c r="AG487" s="161"/>
      <c r="AH487" s="137"/>
      <c r="AI487" s="164" t="str">
        <f t="shared" si="57"/>
        <v/>
      </c>
      <c r="AJ487" s="164" t="str">
        <f>IF(AND(OpenPendingCases[[#This Row],[Sale Status	]]="Open Sale",OpenPendingCases[[#This Row],[Potential Same Month]]="High"),TEXT(OpenPendingCases[[#This Row],[Request Entry Date]], "[$-en-us]mmmm"),"")</f>
        <v/>
      </c>
      <c r="AK487" s="165" t="str">
        <f>IFERROR(VALUE(SUBSTITUTE(OpenPendingCases[[#This Row],[Price]]," AED","")),"")</f>
        <v/>
      </c>
      <c r="AL487" s="165" t="str">
        <f>IFERROR(VALUE(LEFT(OpenPendingCases[[#This Row],[Price]],FIND(" ",OpenPendingCases[[#This Row],[Price]])-1)),"")</f>
        <v/>
      </c>
      <c r="AM487" s="165" t="str">
        <f>IFERROR(VALUE(_xlfn.TEXTBEFORE(OpenPendingCases[[#This Row],[Price]]," AED")),"")</f>
        <v/>
      </c>
      <c r="AN487" s="165"/>
    </row>
    <row r="488" spans="3:40" ht="18" hidden="1" x14ac:dyDescent="0.35">
      <c r="C488" s="134"/>
      <c r="D488" s="137" t="str">
        <f>IF($U488="Open Sale", IF(MAX($D$4:D487)+1=0, "", MAX($D$4:D487)+1), "")</f>
        <v/>
      </c>
      <c r="E488" s="137" t="str">
        <f>IF($U488="Pending Allocation", IF(MAX($E$4:E487)+1=0, "", MAX($E$4:E487)+1), "")</f>
        <v/>
      </c>
      <c r="F488" s="137"/>
      <c r="G488" s="137"/>
      <c r="H488" s="150"/>
      <c r="I488" s="150"/>
      <c r="J488" s="68" t="str">
        <f>IF(OpenPendingCases[[#This Row],[Timepiece Reference ]]="", "", IF(_xlfn.XLOOKUP(OpenPendingCases[[#This Row],[Timepiece Reference ]], Table1[[Timepiece Reference ]], Table1[CRC STOCK], "Not Found")="YES", "CRC Stock", "Boutique Stock"))</f>
        <v/>
      </c>
      <c r="K488" s="137" t="str">
        <f>IF(OpenPendingCases[[#This Row],[Timepiece Reference ]]="", "", IF(_xlfn.XLOOKUP(OpenPendingCases[[#This Row],[Timepiece Reference ]], Table1[[Timepiece Reference ]], Table1[CRC STOCK], "Not Found")="YES", "CRC Stock", "Boutique Stock"))</f>
        <v/>
      </c>
      <c r="L488" s="143"/>
      <c r="M488" s="141"/>
      <c r="N488" s="137"/>
      <c r="O488" s="134"/>
      <c r="P488" s="94" t="str">
        <f>IFERROR(VLOOKUP(TRIM(O488), Collection!$B$2:$D$1001, 2, FALSE), "")</f>
        <v/>
      </c>
      <c r="Q488" s="190" t="str">
        <f>IFERROR(VLOOKUP(TRIM(O488), Collection!$B$2:$D$1001, 3, FALSE), "")</f>
        <v/>
      </c>
      <c r="R488" s="153" t="str">
        <f t="shared" si="51"/>
        <v/>
      </c>
      <c r="S488" s="151"/>
      <c r="T488" s="158"/>
      <c r="U488" s="137"/>
      <c r="V488" s="137"/>
      <c r="W488" s="156" t="str">
        <f t="shared" si="55"/>
        <v/>
      </c>
      <c r="X488" s="157"/>
      <c r="Y488" s="158"/>
      <c r="Z488" s="158"/>
      <c r="AA488" s="137" t="str">
        <f t="shared" ca="1" si="56"/>
        <v/>
      </c>
      <c r="AB488" s="137" t="str">
        <f t="shared" ca="1" si="52"/>
        <v/>
      </c>
      <c r="AC488" s="160" t="str">
        <f t="shared" ca="1" si="53"/>
        <v/>
      </c>
      <c r="AD488" s="159" t="str">
        <f t="shared" ca="1" si="54"/>
        <v/>
      </c>
      <c r="AE488" s="161"/>
      <c r="AF488" s="161"/>
      <c r="AG488" s="161"/>
      <c r="AH488" s="137"/>
      <c r="AI488" s="164" t="str">
        <f t="shared" si="57"/>
        <v/>
      </c>
      <c r="AJ488" s="164" t="str">
        <f>IF(AND(OpenPendingCases[[#This Row],[Sale Status	]]="Open Sale",OpenPendingCases[[#This Row],[Potential Same Month]]="High"),TEXT(OpenPendingCases[[#This Row],[Request Entry Date]], "[$-en-us]mmmm"),"")</f>
        <v/>
      </c>
      <c r="AK488" s="165" t="str">
        <f>IFERROR(VALUE(SUBSTITUTE(OpenPendingCases[[#This Row],[Price]]," AED","")),"")</f>
        <v/>
      </c>
      <c r="AL488" s="165" t="str">
        <f>IFERROR(VALUE(LEFT(OpenPendingCases[[#This Row],[Price]],FIND(" ",OpenPendingCases[[#This Row],[Price]])-1)),"")</f>
        <v/>
      </c>
      <c r="AM488" s="165" t="str">
        <f>IFERROR(VALUE(_xlfn.TEXTBEFORE(OpenPendingCases[[#This Row],[Price]]," AED")),"")</f>
        <v/>
      </c>
      <c r="AN488" s="165"/>
    </row>
    <row r="489" spans="3:40" ht="18" hidden="1" x14ac:dyDescent="0.35">
      <c r="C489" s="134"/>
      <c r="D489" s="137" t="str">
        <f>IF($U489="Open Sale", IF(MAX($D$4:D488)+1=0, "", MAX($D$4:D488)+1), "")</f>
        <v/>
      </c>
      <c r="E489" s="137" t="str">
        <f>IF($U489="Pending Allocation", IF(MAX($E$4:E488)+1=0, "", MAX($E$4:E488)+1), "")</f>
        <v/>
      </c>
      <c r="F489" s="137"/>
      <c r="G489" s="137"/>
      <c r="H489" s="150"/>
      <c r="I489" s="150"/>
      <c r="J489" s="68" t="str">
        <f>IF(OpenPendingCases[[#This Row],[Timepiece Reference ]]="", "", IF(_xlfn.XLOOKUP(OpenPendingCases[[#This Row],[Timepiece Reference ]], Table1[[Timepiece Reference ]], Table1[CRC STOCK], "Not Found")="YES", "CRC Stock", "Boutique Stock"))</f>
        <v/>
      </c>
      <c r="K489" s="137" t="str">
        <f>IF(OpenPendingCases[[#This Row],[Timepiece Reference ]]="", "", IF(_xlfn.XLOOKUP(OpenPendingCases[[#This Row],[Timepiece Reference ]], Table1[[Timepiece Reference ]], Table1[CRC STOCK], "Not Found")="YES", "CRC Stock", "Boutique Stock"))</f>
        <v/>
      </c>
      <c r="L489" s="143"/>
      <c r="M489" s="141"/>
      <c r="N489" s="137"/>
      <c r="O489" s="134"/>
      <c r="P489" s="94" t="str">
        <f>IFERROR(VLOOKUP(TRIM(O489), Collection!$B$2:$D$1001, 2, FALSE), "")</f>
        <v/>
      </c>
      <c r="Q489" s="190" t="str">
        <f>IFERROR(VLOOKUP(TRIM(O489), Collection!$B$2:$D$1001, 3, FALSE), "")</f>
        <v/>
      </c>
      <c r="R489" s="153" t="str">
        <f t="shared" si="51"/>
        <v/>
      </c>
      <c r="S489" s="151"/>
      <c r="T489" s="158"/>
      <c r="U489" s="137"/>
      <c r="V489" s="137"/>
      <c r="W489" s="156" t="str">
        <f t="shared" si="55"/>
        <v/>
      </c>
      <c r="X489" s="157"/>
      <c r="Y489" s="158"/>
      <c r="Z489" s="158"/>
      <c r="AA489" s="137" t="str">
        <f t="shared" ca="1" si="56"/>
        <v/>
      </c>
      <c r="AB489" s="137" t="str">
        <f t="shared" ca="1" si="52"/>
        <v/>
      </c>
      <c r="AC489" s="160" t="str">
        <f t="shared" ca="1" si="53"/>
        <v/>
      </c>
      <c r="AD489" s="159" t="str">
        <f t="shared" ca="1" si="54"/>
        <v/>
      </c>
      <c r="AE489" s="161"/>
      <c r="AF489" s="161"/>
      <c r="AG489" s="161"/>
      <c r="AH489" s="137"/>
      <c r="AI489" s="164" t="str">
        <f t="shared" si="57"/>
        <v/>
      </c>
      <c r="AJ489" s="164" t="str">
        <f>IF(AND(OpenPendingCases[[#This Row],[Sale Status	]]="Open Sale",OpenPendingCases[[#This Row],[Potential Same Month]]="High"),TEXT(OpenPendingCases[[#This Row],[Request Entry Date]], "[$-en-us]mmmm"),"")</f>
        <v/>
      </c>
      <c r="AK489" s="165" t="str">
        <f>IFERROR(VALUE(SUBSTITUTE(OpenPendingCases[[#This Row],[Price]]," AED","")),"")</f>
        <v/>
      </c>
      <c r="AL489" s="165" t="str">
        <f>IFERROR(VALUE(LEFT(OpenPendingCases[[#This Row],[Price]],FIND(" ",OpenPendingCases[[#This Row],[Price]])-1)),"")</f>
        <v/>
      </c>
      <c r="AM489" s="165" t="str">
        <f>IFERROR(VALUE(_xlfn.TEXTBEFORE(OpenPendingCases[[#This Row],[Price]]," AED")),"")</f>
        <v/>
      </c>
      <c r="AN489" s="165"/>
    </row>
    <row r="490" spans="3:40" ht="18" hidden="1" x14ac:dyDescent="0.35">
      <c r="C490" s="134"/>
      <c r="D490" s="137" t="str">
        <f>IF($U490="Open Sale", IF(MAX($D$4:D489)+1=0, "", MAX($D$4:D489)+1), "")</f>
        <v/>
      </c>
      <c r="E490" s="137" t="str">
        <f>IF($U490="Pending Allocation", IF(MAX($E$4:E489)+1=0, "", MAX($E$4:E489)+1), "")</f>
        <v/>
      </c>
      <c r="F490" s="137"/>
      <c r="G490" s="137"/>
      <c r="H490" s="150"/>
      <c r="I490" s="150"/>
      <c r="J490" s="68" t="str">
        <f>IF(OpenPendingCases[[#This Row],[Timepiece Reference ]]="", "", IF(_xlfn.XLOOKUP(OpenPendingCases[[#This Row],[Timepiece Reference ]], Table1[[Timepiece Reference ]], Table1[CRC STOCK], "Not Found")="YES", "CRC Stock", "Boutique Stock"))</f>
        <v/>
      </c>
      <c r="K490" s="137" t="str">
        <f>IF(OpenPendingCases[[#This Row],[Timepiece Reference ]]="", "", IF(_xlfn.XLOOKUP(OpenPendingCases[[#This Row],[Timepiece Reference ]], Table1[[Timepiece Reference ]], Table1[CRC STOCK], "Not Found")="YES", "CRC Stock", "Boutique Stock"))</f>
        <v/>
      </c>
      <c r="L490" s="143"/>
      <c r="M490" s="141"/>
      <c r="N490" s="137"/>
      <c r="O490" s="134"/>
      <c r="P490" s="94" t="str">
        <f>IFERROR(VLOOKUP(TRIM(O490), Collection!$B$2:$D$1001, 2, FALSE), "")</f>
        <v/>
      </c>
      <c r="Q490" s="190" t="str">
        <f>IFERROR(VLOOKUP(TRIM(O490), Collection!$B$2:$D$1001, 3, FALSE), "")</f>
        <v/>
      </c>
      <c r="R490" s="153" t="str">
        <f t="shared" si="51"/>
        <v/>
      </c>
      <c r="S490" s="151"/>
      <c r="T490" s="158"/>
      <c r="U490" s="137"/>
      <c r="V490" s="137"/>
      <c r="W490" s="156" t="str">
        <f t="shared" si="55"/>
        <v/>
      </c>
      <c r="X490" s="157"/>
      <c r="Y490" s="158"/>
      <c r="Z490" s="158"/>
      <c r="AA490" s="137" t="str">
        <f t="shared" ca="1" si="56"/>
        <v/>
      </c>
      <c r="AB490" s="137" t="str">
        <f t="shared" ca="1" si="52"/>
        <v/>
      </c>
      <c r="AC490" s="160" t="str">
        <f t="shared" ca="1" si="53"/>
        <v/>
      </c>
      <c r="AD490" s="159" t="str">
        <f t="shared" ca="1" si="54"/>
        <v/>
      </c>
      <c r="AE490" s="161"/>
      <c r="AF490" s="161"/>
      <c r="AG490" s="161"/>
      <c r="AH490" s="137"/>
      <c r="AI490" s="164" t="str">
        <f t="shared" si="57"/>
        <v/>
      </c>
      <c r="AJ490" s="164" t="str">
        <f>IF(AND(OpenPendingCases[[#This Row],[Sale Status	]]="Open Sale",OpenPendingCases[[#This Row],[Potential Same Month]]="High"),TEXT(OpenPendingCases[[#This Row],[Request Entry Date]], "[$-en-us]mmmm"),"")</f>
        <v/>
      </c>
      <c r="AK490" s="165" t="str">
        <f>IFERROR(VALUE(SUBSTITUTE(OpenPendingCases[[#This Row],[Price]]," AED","")),"")</f>
        <v/>
      </c>
      <c r="AL490" s="165" t="str">
        <f>IFERROR(VALUE(LEFT(OpenPendingCases[[#This Row],[Price]],FIND(" ",OpenPendingCases[[#This Row],[Price]])-1)),"")</f>
        <v/>
      </c>
      <c r="AM490" s="165" t="str">
        <f>IFERROR(VALUE(_xlfn.TEXTBEFORE(OpenPendingCases[[#This Row],[Price]]," AED")),"")</f>
        <v/>
      </c>
      <c r="AN490" s="165"/>
    </row>
    <row r="491" spans="3:40" ht="18" hidden="1" x14ac:dyDescent="0.35">
      <c r="C491" s="134"/>
      <c r="D491" s="137" t="str">
        <f>IF($U491="Open Sale", IF(MAX($D$4:D490)+1=0, "", MAX($D$4:D490)+1), "")</f>
        <v/>
      </c>
      <c r="E491" s="137" t="str">
        <f>IF($U491="Pending Allocation", IF(MAX($E$4:E490)+1=0, "", MAX($E$4:E490)+1), "")</f>
        <v/>
      </c>
      <c r="F491" s="137"/>
      <c r="G491" s="137"/>
      <c r="H491" s="150"/>
      <c r="I491" s="150"/>
      <c r="J491" s="68" t="str">
        <f>IF(OpenPendingCases[[#This Row],[Timepiece Reference ]]="", "", IF(_xlfn.XLOOKUP(OpenPendingCases[[#This Row],[Timepiece Reference ]], Table1[[Timepiece Reference ]], Table1[CRC STOCK], "Not Found")="YES", "CRC Stock", "Boutique Stock"))</f>
        <v/>
      </c>
      <c r="K491" s="137" t="str">
        <f>IF(OpenPendingCases[[#This Row],[Timepiece Reference ]]="", "", IF(_xlfn.XLOOKUP(OpenPendingCases[[#This Row],[Timepiece Reference ]], Table1[[Timepiece Reference ]], Table1[CRC STOCK], "Not Found")="YES", "CRC Stock", "Boutique Stock"))</f>
        <v/>
      </c>
      <c r="L491" s="143"/>
      <c r="M491" s="141"/>
      <c r="N491" s="137"/>
      <c r="O491" s="134"/>
      <c r="P491" s="94" t="str">
        <f>IFERROR(VLOOKUP(TRIM(O491), Collection!$B$2:$D$1001, 2, FALSE), "")</f>
        <v/>
      </c>
      <c r="Q491" s="190" t="str">
        <f>IFERROR(VLOOKUP(TRIM(O491), Collection!$B$2:$D$1001, 3, FALSE), "")</f>
        <v/>
      </c>
      <c r="R491" s="153" t="str">
        <f t="shared" si="51"/>
        <v/>
      </c>
      <c r="S491" s="151"/>
      <c r="T491" s="158"/>
      <c r="U491" s="137"/>
      <c r="V491" s="137"/>
      <c r="W491" s="156" t="str">
        <f t="shared" si="55"/>
        <v/>
      </c>
      <c r="X491" s="157"/>
      <c r="Y491" s="158"/>
      <c r="Z491" s="158"/>
      <c r="AA491" s="137" t="str">
        <f t="shared" ca="1" si="56"/>
        <v/>
      </c>
      <c r="AB491" s="137" t="str">
        <f t="shared" ca="1" si="52"/>
        <v/>
      </c>
      <c r="AC491" s="160" t="str">
        <f t="shared" ca="1" si="53"/>
        <v/>
      </c>
      <c r="AD491" s="159" t="str">
        <f t="shared" ca="1" si="54"/>
        <v/>
      </c>
      <c r="AE491" s="161"/>
      <c r="AF491" s="161"/>
      <c r="AG491" s="161"/>
      <c r="AH491" s="137"/>
      <c r="AI491" s="164" t="str">
        <f t="shared" si="57"/>
        <v/>
      </c>
      <c r="AJ491" s="164" t="str">
        <f>IF(AND(OpenPendingCases[[#This Row],[Sale Status	]]="Open Sale",OpenPendingCases[[#This Row],[Potential Same Month]]="High"),TEXT(OpenPendingCases[[#This Row],[Request Entry Date]], "[$-en-us]mmmm"),"")</f>
        <v/>
      </c>
      <c r="AK491" s="165" t="str">
        <f>IFERROR(VALUE(SUBSTITUTE(OpenPendingCases[[#This Row],[Price]]," AED","")),"")</f>
        <v/>
      </c>
      <c r="AL491" s="165" t="str">
        <f>IFERROR(VALUE(LEFT(OpenPendingCases[[#This Row],[Price]],FIND(" ",OpenPendingCases[[#This Row],[Price]])-1)),"")</f>
        <v/>
      </c>
      <c r="AM491" s="165" t="str">
        <f>IFERROR(VALUE(_xlfn.TEXTBEFORE(OpenPendingCases[[#This Row],[Price]]," AED")),"")</f>
        <v/>
      </c>
      <c r="AN491" s="165"/>
    </row>
    <row r="492" spans="3:40" ht="18" hidden="1" x14ac:dyDescent="0.35">
      <c r="C492" s="134"/>
      <c r="D492" s="137" t="str">
        <f>IF($U492="Open Sale", IF(MAX($D$4:D491)+1=0, "", MAX($D$4:D491)+1), "")</f>
        <v/>
      </c>
      <c r="E492" s="137" t="str">
        <f>IF($U492="Pending Allocation", IF(MAX($E$4:E491)+1=0, "", MAX($E$4:E491)+1), "")</f>
        <v/>
      </c>
      <c r="F492" s="137"/>
      <c r="G492" s="137"/>
      <c r="H492" s="150"/>
      <c r="I492" s="150"/>
      <c r="J492" s="68" t="str">
        <f>IF(OpenPendingCases[[#This Row],[Timepiece Reference ]]="", "", IF(_xlfn.XLOOKUP(OpenPendingCases[[#This Row],[Timepiece Reference ]], Table1[[Timepiece Reference ]], Table1[CRC STOCK], "Not Found")="YES", "CRC Stock", "Boutique Stock"))</f>
        <v/>
      </c>
      <c r="K492" s="137" t="str">
        <f>IF(OpenPendingCases[[#This Row],[Timepiece Reference ]]="", "", IF(_xlfn.XLOOKUP(OpenPendingCases[[#This Row],[Timepiece Reference ]], Table1[[Timepiece Reference ]], Table1[CRC STOCK], "Not Found")="YES", "CRC Stock", "Boutique Stock"))</f>
        <v/>
      </c>
      <c r="L492" s="143"/>
      <c r="M492" s="141"/>
      <c r="N492" s="137"/>
      <c r="O492" s="134"/>
      <c r="P492" s="94" t="str">
        <f>IFERROR(VLOOKUP(TRIM(O492), Collection!$B$2:$D$1001, 2, FALSE), "")</f>
        <v/>
      </c>
      <c r="Q492" s="190" t="str">
        <f>IFERROR(VLOOKUP(TRIM(O492), Collection!$B$2:$D$1001, 3, FALSE), "")</f>
        <v/>
      </c>
      <c r="R492" s="153" t="str">
        <f t="shared" si="51"/>
        <v/>
      </c>
      <c r="S492" s="151"/>
      <c r="T492" s="158"/>
      <c r="U492" s="137"/>
      <c r="V492" s="137"/>
      <c r="W492" s="156" t="str">
        <f t="shared" si="55"/>
        <v/>
      </c>
      <c r="X492" s="157"/>
      <c r="Y492" s="158"/>
      <c r="Z492" s="158"/>
      <c r="AA492" s="137" t="str">
        <f t="shared" ca="1" si="56"/>
        <v/>
      </c>
      <c r="AB492" s="137" t="str">
        <f t="shared" ca="1" si="52"/>
        <v/>
      </c>
      <c r="AC492" s="160" t="str">
        <f t="shared" ca="1" si="53"/>
        <v/>
      </c>
      <c r="AD492" s="159" t="str">
        <f t="shared" ca="1" si="54"/>
        <v/>
      </c>
      <c r="AE492" s="161"/>
      <c r="AF492" s="161"/>
      <c r="AG492" s="161"/>
      <c r="AH492" s="137"/>
      <c r="AI492" s="164" t="str">
        <f t="shared" si="57"/>
        <v/>
      </c>
      <c r="AJ492" s="164" t="str">
        <f>IF(AND(OpenPendingCases[[#This Row],[Sale Status	]]="Open Sale",OpenPendingCases[[#This Row],[Potential Same Month]]="High"),TEXT(OpenPendingCases[[#This Row],[Request Entry Date]], "[$-en-us]mmmm"),"")</f>
        <v/>
      </c>
      <c r="AK492" s="165" t="str">
        <f>IFERROR(VALUE(SUBSTITUTE(OpenPendingCases[[#This Row],[Price]]," AED","")),"")</f>
        <v/>
      </c>
      <c r="AL492" s="165" t="str">
        <f>IFERROR(VALUE(LEFT(OpenPendingCases[[#This Row],[Price]],FIND(" ",OpenPendingCases[[#This Row],[Price]])-1)),"")</f>
        <v/>
      </c>
      <c r="AM492" s="165" t="str">
        <f>IFERROR(VALUE(_xlfn.TEXTBEFORE(OpenPendingCases[[#This Row],[Price]]," AED")),"")</f>
        <v/>
      </c>
      <c r="AN492" s="165"/>
    </row>
    <row r="493" spans="3:40" ht="18" hidden="1" x14ac:dyDescent="0.35">
      <c r="C493" s="134"/>
      <c r="D493" s="137" t="str">
        <f>IF($U493="Open Sale", IF(MAX($D$4:D492)+1=0, "", MAX($D$4:D492)+1), "")</f>
        <v/>
      </c>
      <c r="E493" s="137" t="str">
        <f>IF($U493="Pending Allocation", IF(MAX($E$4:E492)+1=0, "", MAX($E$4:E492)+1), "")</f>
        <v/>
      </c>
      <c r="F493" s="137"/>
      <c r="G493" s="137"/>
      <c r="H493" s="150"/>
      <c r="I493" s="150"/>
      <c r="J493" s="68" t="str">
        <f>IF(OpenPendingCases[[#This Row],[Timepiece Reference ]]="", "", IF(_xlfn.XLOOKUP(OpenPendingCases[[#This Row],[Timepiece Reference ]], Table1[[Timepiece Reference ]], Table1[CRC STOCK], "Not Found")="YES", "CRC Stock", "Boutique Stock"))</f>
        <v/>
      </c>
      <c r="K493" s="137" t="str">
        <f>IF(OpenPendingCases[[#This Row],[Timepiece Reference ]]="", "", IF(_xlfn.XLOOKUP(OpenPendingCases[[#This Row],[Timepiece Reference ]], Table1[[Timepiece Reference ]], Table1[CRC STOCK], "Not Found")="YES", "CRC Stock", "Boutique Stock"))</f>
        <v/>
      </c>
      <c r="L493" s="143"/>
      <c r="M493" s="141"/>
      <c r="N493" s="137"/>
      <c r="O493" s="134"/>
      <c r="P493" s="94" t="str">
        <f>IFERROR(VLOOKUP(TRIM(O493), Collection!$B$2:$D$1001, 2, FALSE), "")</f>
        <v/>
      </c>
      <c r="Q493" s="190" t="str">
        <f>IFERROR(VLOOKUP(TRIM(O493), Collection!$B$2:$D$1001, 3, FALSE), "")</f>
        <v/>
      </c>
      <c r="R493" s="153" t="str">
        <f t="shared" si="51"/>
        <v/>
      </c>
      <c r="S493" s="151"/>
      <c r="T493" s="158"/>
      <c r="U493" s="137"/>
      <c r="V493" s="137"/>
      <c r="W493" s="156" t="str">
        <f t="shared" si="55"/>
        <v/>
      </c>
      <c r="X493" s="157"/>
      <c r="Y493" s="158"/>
      <c r="Z493" s="158"/>
      <c r="AA493" s="137" t="str">
        <f t="shared" ca="1" si="56"/>
        <v/>
      </c>
      <c r="AB493" s="137" t="str">
        <f t="shared" ca="1" si="52"/>
        <v/>
      </c>
      <c r="AC493" s="160" t="str">
        <f t="shared" ca="1" si="53"/>
        <v/>
      </c>
      <c r="AD493" s="159" t="str">
        <f t="shared" ca="1" si="54"/>
        <v/>
      </c>
      <c r="AE493" s="161"/>
      <c r="AF493" s="161"/>
      <c r="AG493" s="161"/>
      <c r="AH493" s="137"/>
      <c r="AI493" s="164" t="str">
        <f t="shared" si="57"/>
        <v/>
      </c>
      <c r="AJ493" s="164" t="str">
        <f>IF(AND(OpenPendingCases[[#This Row],[Sale Status	]]="Open Sale",OpenPendingCases[[#This Row],[Potential Same Month]]="High"),TEXT(OpenPendingCases[[#This Row],[Request Entry Date]], "[$-en-us]mmmm"),"")</f>
        <v/>
      </c>
      <c r="AK493" s="165" t="str">
        <f>IFERROR(VALUE(SUBSTITUTE(OpenPendingCases[[#This Row],[Price]]," AED","")),"")</f>
        <v/>
      </c>
      <c r="AL493" s="165" t="str">
        <f>IFERROR(VALUE(LEFT(OpenPendingCases[[#This Row],[Price]],FIND(" ",OpenPendingCases[[#This Row],[Price]])-1)),"")</f>
        <v/>
      </c>
      <c r="AM493" s="165" t="str">
        <f>IFERROR(VALUE(_xlfn.TEXTBEFORE(OpenPendingCases[[#This Row],[Price]]," AED")),"")</f>
        <v/>
      </c>
      <c r="AN493" s="165"/>
    </row>
    <row r="494" spans="3:40" ht="18" hidden="1" x14ac:dyDescent="0.35">
      <c r="C494" s="134"/>
      <c r="D494" s="137" t="str">
        <f>IF($U494="Open Sale", IF(MAX($D$4:D493)+1=0, "", MAX($D$4:D493)+1), "")</f>
        <v/>
      </c>
      <c r="E494" s="137" t="str">
        <f>IF($U494="Pending Allocation", IF(MAX($E$4:E493)+1=0, "", MAX($E$4:E493)+1), "")</f>
        <v/>
      </c>
      <c r="F494" s="137"/>
      <c r="G494" s="137"/>
      <c r="H494" s="150"/>
      <c r="I494" s="150"/>
      <c r="J494" s="68" t="str">
        <f>IF(OpenPendingCases[[#This Row],[Timepiece Reference ]]="", "", IF(_xlfn.XLOOKUP(OpenPendingCases[[#This Row],[Timepiece Reference ]], Table1[[Timepiece Reference ]], Table1[CRC STOCK], "Not Found")="YES", "CRC Stock", "Boutique Stock"))</f>
        <v/>
      </c>
      <c r="K494" s="137" t="str">
        <f>IF(OpenPendingCases[[#This Row],[Timepiece Reference ]]="", "", IF(_xlfn.XLOOKUP(OpenPendingCases[[#This Row],[Timepiece Reference ]], Table1[[Timepiece Reference ]], Table1[CRC STOCK], "Not Found")="YES", "CRC Stock", "Boutique Stock"))</f>
        <v/>
      </c>
      <c r="L494" s="143"/>
      <c r="M494" s="141"/>
      <c r="N494" s="137"/>
      <c r="O494" s="134"/>
      <c r="P494" s="94" t="str">
        <f>IFERROR(VLOOKUP(TRIM(O494), Collection!$B$2:$D$1001, 2, FALSE), "")</f>
        <v/>
      </c>
      <c r="Q494" s="190" t="str">
        <f>IFERROR(VLOOKUP(TRIM(O494), Collection!$B$2:$D$1001, 3, FALSE), "")</f>
        <v/>
      </c>
      <c r="R494" s="153" t="str">
        <f t="shared" si="51"/>
        <v/>
      </c>
      <c r="S494" s="151"/>
      <c r="T494" s="158"/>
      <c r="U494" s="137"/>
      <c r="V494" s="137"/>
      <c r="W494" s="156" t="str">
        <f t="shared" si="55"/>
        <v/>
      </c>
      <c r="X494" s="157"/>
      <c r="Y494" s="158"/>
      <c r="Z494" s="158"/>
      <c r="AA494" s="137" t="str">
        <f t="shared" ca="1" si="56"/>
        <v/>
      </c>
      <c r="AB494" s="137" t="str">
        <f t="shared" ca="1" si="52"/>
        <v/>
      </c>
      <c r="AC494" s="160" t="str">
        <f t="shared" ca="1" si="53"/>
        <v/>
      </c>
      <c r="AD494" s="159" t="str">
        <f t="shared" ca="1" si="54"/>
        <v/>
      </c>
      <c r="AE494" s="161"/>
      <c r="AF494" s="161"/>
      <c r="AG494" s="161"/>
      <c r="AH494" s="137"/>
      <c r="AI494" s="164" t="str">
        <f t="shared" si="57"/>
        <v/>
      </c>
      <c r="AJ494" s="164" t="str">
        <f>IF(AND(OpenPendingCases[[#This Row],[Sale Status	]]="Open Sale",OpenPendingCases[[#This Row],[Potential Same Month]]="High"),TEXT(OpenPendingCases[[#This Row],[Request Entry Date]], "[$-en-us]mmmm"),"")</f>
        <v/>
      </c>
      <c r="AK494" s="165" t="str">
        <f>IFERROR(VALUE(SUBSTITUTE(OpenPendingCases[[#This Row],[Price]]," AED","")),"")</f>
        <v/>
      </c>
      <c r="AL494" s="165" t="str">
        <f>IFERROR(VALUE(LEFT(OpenPendingCases[[#This Row],[Price]],FIND(" ",OpenPendingCases[[#This Row],[Price]])-1)),"")</f>
        <v/>
      </c>
      <c r="AM494" s="165" t="str">
        <f>IFERROR(VALUE(_xlfn.TEXTBEFORE(OpenPendingCases[[#This Row],[Price]]," AED")),"")</f>
        <v/>
      </c>
      <c r="AN494" s="165"/>
    </row>
    <row r="495" spans="3:40" ht="18" hidden="1" x14ac:dyDescent="0.35">
      <c r="C495" s="134"/>
      <c r="D495" s="137" t="str">
        <f>IF($U495="Open Sale", IF(MAX($D$4:D494)+1=0, "", MAX($D$4:D494)+1), "")</f>
        <v/>
      </c>
      <c r="E495" s="137" t="str">
        <f>IF($U495="Pending Allocation", IF(MAX($E$4:E494)+1=0, "", MAX($E$4:E494)+1), "")</f>
        <v/>
      </c>
      <c r="F495" s="137"/>
      <c r="G495" s="137"/>
      <c r="H495" s="150"/>
      <c r="I495" s="150"/>
      <c r="J495" s="68" t="str">
        <f>IF(OpenPendingCases[[#This Row],[Timepiece Reference ]]="", "", IF(_xlfn.XLOOKUP(OpenPendingCases[[#This Row],[Timepiece Reference ]], Table1[[Timepiece Reference ]], Table1[CRC STOCK], "Not Found")="YES", "CRC Stock", "Boutique Stock"))</f>
        <v/>
      </c>
      <c r="K495" s="137" t="str">
        <f>IF(OpenPendingCases[[#This Row],[Timepiece Reference ]]="", "", IF(_xlfn.XLOOKUP(OpenPendingCases[[#This Row],[Timepiece Reference ]], Table1[[Timepiece Reference ]], Table1[CRC STOCK], "Not Found")="YES", "CRC Stock", "Boutique Stock"))</f>
        <v/>
      </c>
      <c r="L495" s="143"/>
      <c r="M495" s="141"/>
      <c r="N495" s="137"/>
      <c r="O495" s="134"/>
      <c r="P495" s="94" t="str">
        <f>IFERROR(VLOOKUP(TRIM(O495), Collection!$B$2:$D$1001, 2, FALSE), "")</f>
        <v/>
      </c>
      <c r="Q495" s="190" t="str">
        <f>IFERROR(VLOOKUP(TRIM(O495), Collection!$B$2:$D$1001, 3, FALSE), "")</f>
        <v/>
      </c>
      <c r="R495" s="153" t="str">
        <f t="shared" si="51"/>
        <v/>
      </c>
      <c r="S495" s="151"/>
      <c r="T495" s="158"/>
      <c r="U495" s="137"/>
      <c r="V495" s="137"/>
      <c r="W495" s="156" t="str">
        <f t="shared" si="55"/>
        <v/>
      </c>
      <c r="X495" s="157"/>
      <c r="Y495" s="158"/>
      <c r="Z495" s="158"/>
      <c r="AA495" s="137" t="str">
        <f t="shared" ca="1" si="56"/>
        <v/>
      </c>
      <c r="AB495" s="137" t="str">
        <f t="shared" ca="1" si="52"/>
        <v/>
      </c>
      <c r="AC495" s="160" t="str">
        <f t="shared" ca="1" si="53"/>
        <v/>
      </c>
      <c r="AD495" s="159" t="str">
        <f t="shared" ca="1" si="54"/>
        <v/>
      </c>
      <c r="AE495" s="161"/>
      <c r="AF495" s="161"/>
      <c r="AG495" s="161"/>
      <c r="AH495" s="137"/>
      <c r="AI495" s="164" t="str">
        <f t="shared" si="57"/>
        <v/>
      </c>
      <c r="AJ495" s="164" t="str">
        <f>IF(AND(OpenPendingCases[[#This Row],[Sale Status	]]="Open Sale",OpenPendingCases[[#This Row],[Potential Same Month]]="High"),TEXT(OpenPendingCases[[#This Row],[Request Entry Date]], "[$-en-us]mmmm"),"")</f>
        <v/>
      </c>
      <c r="AK495" s="165" t="str">
        <f>IFERROR(VALUE(SUBSTITUTE(OpenPendingCases[[#This Row],[Price]]," AED","")),"")</f>
        <v/>
      </c>
      <c r="AL495" s="165" t="str">
        <f>IFERROR(VALUE(LEFT(OpenPendingCases[[#This Row],[Price]],FIND(" ",OpenPendingCases[[#This Row],[Price]])-1)),"")</f>
        <v/>
      </c>
      <c r="AM495" s="165" t="str">
        <f>IFERROR(VALUE(_xlfn.TEXTBEFORE(OpenPendingCases[[#This Row],[Price]]," AED")),"")</f>
        <v/>
      </c>
      <c r="AN495" s="165"/>
    </row>
    <row r="496" spans="3:40" ht="18" hidden="1" x14ac:dyDescent="0.35">
      <c r="C496" s="134"/>
      <c r="D496" s="137" t="str">
        <f>IF($U496="Open Sale", IF(MAX($D$4:D495)+1=0, "", MAX($D$4:D495)+1), "")</f>
        <v/>
      </c>
      <c r="E496" s="137" t="str">
        <f>IF($U496="Pending Allocation", IF(MAX($E$4:E495)+1=0, "", MAX($E$4:E495)+1), "")</f>
        <v/>
      </c>
      <c r="F496" s="137"/>
      <c r="G496" s="137"/>
      <c r="H496" s="150"/>
      <c r="I496" s="150"/>
      <c r="J496" s="68" t="str">
        <f>IF(OpenPendingCases[[#This Row],[Timepiece Reference ]]="", "", IF(_xlfn.XLOOKUP(OpenPendingCases[[#This Row],[Timepiece Reference ]], Table1[[Timepiece Reference ]], Table1[CRC STOCK], "Not Found")="YES", "CRC Stock", "Boutique Stock"))</f>
        <v/>
      </c>
      <c r="K496" s="137" t="str">
        <f>IF(OpenPendingCases[[#This Row],[Timepiece Reference ]]="", "", IF(_xlfn.XLOOKUP(OpenPendingCases[[#This Row],[Timepiece Reference ]], Table1[[Timepiece Reference ]], Table1[CRC STOCK], "Not Found")="YES", "CRC Stock", "Boutique Stock"))</f>
        <v/>
      </c>
      <c r="L496" s="143"/>
      <c r="M496" s="141"/>
      <c r="N496" s="137"/>
      <c r="O496" s="134"/>
      <c r="P496" s="94" t="str">
        <f>IFERROR(VLOOKUP(TRIM(O496), Collection!$B$2:$D$1001, 2, FALSE), "")</f>
        <v/>
      </c>
      <c r="Q496" s="190" t="str">
        <f>IFERROR(VLOOKUP(TRIM(O496), Collection!$B$2:$D$1001, 3, FALSE), "")</f>
        <v/>
      </c>
      <c r="R496" s="153" t="str">
        <f t="shared" si="51"/>
        <v/>
      </c>
      <c r="S496" s="151"/>
      <c r="T496" s="158"/>
      <c r="U496" s="137"/>
      <c r="V496" s="137"/>
      <c r="W496" s="156" t="str">
        <f t="shared" si="55"/>
        <v/>
      </c>
      <c r="X496" s="157"/>
      <c r="Y496" s="158"/>
      <c r="Z496" s="158"/>
      <c r="AA496" s="137" t="str">
        <f t="shared" ca="1" si="56"/>
        <v/>
      </c>
      <c r="AB496" s="137" t="str">
        <f t="shared" ca="1" si="52"/>
        <v/>
      </c>
      <c r="AC496" s="160" t="str">
        <f t="shared" ca="1" si="53"/>
        <v/>
      </c>
      <c r="AD496" s="159" t="str">
        <f t="shared" ca="1" si="54"/>
        <v/>
      </c>
      <c r="AE496" s="161"/>
      <c r="AF496" s="161"/>
      <c r="AG496" s="161"/>
      <c r="AH496" s="137"/>
      <c r="AI496" s="164" t="str">
        <f t="shared" si="57"/>
        <v/>
      </c>
      <c r="AJ496" s="164" t="str">
        <f>IF(AND(OpenPendingCases[[#This Row],[Sale Status	]]="Open Sale",OpenPendingCases[[#This Row],[Potential Same Month]]="High"),TEXT(OpenPendingCases[[#This Row],[Request Entry Date]], "[$-en-us]mmmm"),"")</f>
        <v/>
      </c>
      <c r="AK496" s="165" t="str">
        <f>IFERROR(VALUE(SUBSTITUTE(OpenPendingCases[[#This Row],[Price]]," AED","")),"")</f>
        <v/>
      </c>
      <c r="AL496" s="165" t="str">
        <f>IFERROR(VALUE(LEFT(OpenPendingCases[[#This Row],[Price]],FIND(" ",OpenPendingCases[[#This Row],[Price]])-1)),"")</f>
        <v/>
      </c>
      <c r="AM496" s="165" t="str">
        <f>IFERROR(VALUE(_xlfn.TEXTBEFORE(OpenPendingCases[[#This Row],[Price]]," AED")),"")</f>
        <v/>
      </c>
      <c r="AN496" s="165"/>
    </row>
    <row r="497" spans="3:40" ht="18" hidden="1" x14ac:dyDescent="0.35">
      <c r="C497" s="134"/>
      <c r="D497" s="137" t="str">
        <f>IF($U497="Open Sale", IF(MAX($D$4:D496)+1=0, "", MAX($D$4:D496)+1), "")</f>
        <v/>
      </c>
      <c r="E497" s="137" t="str">
        <f>IF($U497="Pending Allocation", IF(MAX($E$4:E496)+1=0, "", MAX($E$4:E496)+1), "")</f>
        <v/>
      </c>
      <c r="F497" s="137"/>
      <c r="G497" s="137"/>
      <c r="H497" s="150"/>
      <c r="I497" s="150"/>
      <c r="J497" s="68" t="str">
        <f>IF(OpenPendingCases[[#This Row],[Timepiece Reference ]]="", "", IF(_xlfn.XLOOKUP(OpenPendingCases[[#This Row],[Timepiece Reference ]], Table1[[Timepiece Reference ]], Table1[CRC STOCK], "Not Found")="YES", "CRC Stock", "Boutique Stock"))</f>
        <v/>
      </c>
      <c r="K497" s="137" t="str">
        <f>IF(OpenPendingCases[[#This Row],[Timepiece Reference ]]="", "", IF(_xlfn.XLOOKUP(OpenPendingCases[[#This Row],[Timepiece Reference ]], Table1[[Timepiece Reference ]], Table1[CRC STOCK], "Not Found")="YES", "CRC Stock", "Boutique Stock"))</f>
        <v/>
      </c>
      <c r="L497" s="143"/>
      <c r="M497" s="141"/>
      <c r="N497" s="137"/>
      <c r="O497" s="134"/>
      <c r="P497" s="94" t="str">
        <f>IFERROR(VLOOKUP(TRIM(O497), Collection!$B$2:$D$1001, 2, FALSE), "")</f>
        <v/>
      </c>
      <c r="Q497" s="190" t="str">
        <f>IFERROR(VLOOKUP(TRIM(O497), Collection!$B$2:$D$1001, 3, FALSE), "")</f>
        <v/>
      </c>
      <c r="R497" s="153" t="str">
        <f t="shared" si="51"/>
        <v/>
      </c>
      <c r="S497" s="151"/>
      <c r="T497" s="158"/>
      <c r="U497" s="137"/>
      <c r="V497" s="137"/>
      <c r="W497" s="156" t="str">
        <f t="shared" si="55"/>
        <v/>
      </c>
      <c r="X497" s="157"/>
      <c r="Y497" s="158"/>
      <c r="Z497" s="158"/>
      <c r="AA497" s="137" t="str">
        <f t="shared" ca="1" si="56"/>
        <v/>
      </c>
      <c r="AB497" s="137" t="str">
        <f t="shared" ca="1" si="52"/>
        <v/>
      </c>
      <c r="AC497" s="160" t="str">
        <f t="shared" ca="1" si="53"/>
        <v/>
      </c>
      <c r="AD497" s="159" t="str">
        <f t="shared" ca="1" si="54"/>
        <v/>
      </c>
      <c r="AE497" s="161"/>
      <c r="AF497" s="161"/>
      <c r="AG497" s="161"/>
      <c r="AH497" s="137"/>
      <c r="AI497" s="164" t="str">
        <f t="shared" si="57"/>
        <v/>
      </c>
      <c r="AJ497" s="164" t="str">
        <f>IF(AND(OpenPendingCases[[#This Row],[Sale Status	]]="Open Sale",OpenPendingCases[[#This Row],[Potential Same Month]]="High"),TEXT(OpenPendingCases[[#This Row],[Request Entry Date]], "[$-en-us]mmmm"),"")</f>
        <v/>
      </c>
      <c r="AK497" s="165" t="str">
        <f>IFERROR(VALUE(SUBSTITUTE(OpenPendingCases[[#This Row],[Price]]," AED","")),"")</f>
        <v/>
      </c>
      <c r="AL497" s="165" t="str">
        <f>IFERROR(VALUE(LEFT(OpenPendingCases[[#This Row],[Price]],FIND(" ",OpenPendingCases[[#This Row],[Price]])-1)),"")</f>
        <v/>
      </c>
      <c r="AM497" s="165" t="str">
        <f>IFERROR(VALUE(_xlfn.TEXTBEFORE(OpenPendingCases[[#This Row],[Price]]," AED")),"")</f>
        <v/>
      </c>
      <c r="AN497" s="165"/>
    </row>
    <row r="498" spans="3:40" ht="18" hidden="1" x14ac:dyDescent="0.35">
      <c r="C498" s="134"/>
      <c r="D498" s="137" t="str">
        <f>IF($U498="Open Sale", IF(MAX($D$4:D497)+1=0, "", MAX($D$4:D497)+1), "")</f>
        <v/>
      </c>
      <c r="E498" s="137" t="str">
        <f>IF($U498="Pending Allocation", IF(MAX($E$4:E497)+1=0, "", MAX($E$4:E497)+1), "")</f>
        <v/>
      </c>
      <c r="F498" s="137"/>
      <c r="G498" s="137"/>
      <c r="H498" s="150"/>
      <c r="I498" s="150"/>
      <c r="J498" s="68" t="str">
        <f>IF(OpenPendingCases[[#This Row],[Timepiece Reference ]]="", "", IF(_xlfn.XLOOKUP(OpenPendingCases[[#This Row],[Timepiece Reference ]], Table1[[Timepiece Reference ]], Table1[CRC STOCK], "Not Found")="YES", "CRC Stock", "Boutique Stock"))</f>
        <v/>
      </c>
      <c r="K498" s="137" t="str">
        <f>IF(OpenPendingCases[[#This Row],[Timepiece Reference ]]="", "", IF(_xlfn.XLOOKUP(OpenPendingCases[[#This Row],[Timepiece Reference ]], Table1[[Timepiece Reference ]], Table1[CRC STOCK], "Not Found")="YES", "CRC Stock", "Boutique Stock"))</f>
        <v/>
      </c>
      <c r="L498" s="143"/>
      <c r="M498" s="141"/>
      <c r="N498" s="137"/>
      <c r="O498" s="134"/>
      <c r="P498" s="94" t="str">
        <f>IFERROR(VLOOKUP(TRIM(O498), Collection!$B$2:$D$1001, 2, FALSE), "")</f>
        <v/>
      </c>
      <c r="Q498" s="190" t="str">
        <f>IFERROR(VLOOKUP(TRIM(O498), Collection!$B$2:$D$1001, 3, FALSE), "")</f>
        <v/>
      </c>
      <c r="R498" s="153" t="str">
        <f t="shared" si="51"/>
        <v/>
      </c>
      <c r="S498" s="151"/>
      <c r="T498" s="158"/>
      <c r="U498" s="137"/>
      <c r="V498" s="137"/>
      <c r="W498" s="156" t="str">
        <f t="shared" si="55"/>
        <v/>
      </c>
      <c r="X498" s="157"/>
      <c r="Y498" s="158"/>
      <c r="Z498" s="158"/>
      <c r="AA498" s="137" t="str">
        <f t="shared" ca="1" si="56"/>
        <v/>
      </c>
      <c r="AB498" s="137" t="str">
        <f t="shared" ca="1" si="52"/>
        <v/>
      </c>
      <c r="AC498" s="160" t="str">
        <f t="shared" ca="1" si="53"/>
        <v/>
      </c>
      <c r="AD498" s="159" t="str">
        <f t="shared" ca="1" si="54"/>
        <v/>
      </c>
      <c r="AE498" s="161"/>
      <c r="AF498" s="161"/>
      <c r="AG498" s="161"/>
      <c r="AH498" s="137"/>
      <c r="AI498" s="164" t="str">
        <f t="shared" si="57"/>
        <v/>
      </c>
      <c r="AJ498" s="164" t="str">
        <f>IF(AND(OpenPendingCases[[#This Row],[Sale Status	]]="Open Sale",OpenPendingCases[[#This Row],[Potential Same Month]]="High"),TEXT(OpenPendingCases[[#This Row],[Request Entry Date]], "[$-en-us]mmmm"),"")</f>
        <v/>
      </c>
      <c r="AK498" s="165" t="str">
        <f>IFERROR(VALUE(SUBSTITUTE(OpenPendingCases[[#This Row],[Price]]," AED","")),"")</f>
        <v/>
      </c>
      <c r="AL498" s="165" t="str">
        <f>IFERROR(VALUE(LEFT(OpenPendingCases[[#This Row],[Price]],FIND(" ",OpenPendingCases[[#This Row],[Price]])-1)),"")</f>
        <v/>
      </c>
      <c r="AM498" s="165" t="str">
        <f>IFERROR(VALUE(_xlfn.TEXTBEFORE(OpenPendingCases[[#This Row],[Price]]," AED")),"")</f>
        <v/>
      </c>
      <c r="AN498" s="165"/>
    </row>
    <row r="499" spans="3:40" ht="18" hidden="1" x14ac:dyDescent="0.35">
      <c r="C499" s="134"/>
      <c r="D499" s="137" t="str">
        <f>IF($U499="Open Sale", IF(MAX($D$4:D498)+1=0, "", MAX($D$4:D498)+1), "")</f>
        <v/>
      </c>
      <c r="E499" s="137" t="str">
        <f>IF($U499="Pending Allocation", IF(MAX($E$4:E498)+1=0, "", MAX($E$4:E498)+1), "")</f>
        <v/>
      </c>
      <c r="F499" s="137"/>
      <c r="G499" s="137"/>
      <c r="H499" s="150"/>
      <c r="I499" s="150"/>
      <c r="J499" s="68" t="str">
        <f>IF(OpenPendingCases[[#This Row],[Timepiece Reference ]]="", "", IF(_xlfn.XLOOKUP(OpenPendingCases[[#This Row],[Timepiece Reference ]], Table1[[Timepiece Reference ]], Table1[CRC STOCK], "Not Found")="YES", "CRC Stock", "Boutique Stock"))</f>
        <v/>
      </c>
      <c r="K499" s="137" t="str">
        <f>IF(OpenPendingCases[[#This Row],[Timepiece Reference ]]="", "", IF(_xlfn.XLOOKUP(OpenPendingCases[[#This Row],[Timepiece Reference ]], Table1[[Timepiece Reference ]], Table1[CRC STOCK], "Not Found")="YES", "CRC Stock", "Boutique Stock"))</f>
        <v/>
      </c>
      <c r="L499" s="143"/>
      <c r="M499" s="141"/>
      <c r="N499" s="137"/>
      <c r="O499" s="134"/>
      <c r="P499" s="94" t="str">
        <f>IFERROR(VLOOKUP(TRIM(O499), Collection!$B$2:$D$1001, 2, FALSE), "")</f>
        <v/>
      </c>
      <c r="Q499" s="190" t="str">
        <f>IFERROR(VLOOKUP(TRIM(O499), Collection!$B$2:$D$1001, 3, FALSE), "")</f>
        <v/>
      </c>
      <c r="R499" s="153" t="str">
        <f t="shared" si="51"/>
        <v/>
      </c>
      <c r="S499" s="151"/>
      <c r="T499" s="158"/>
      <c r="U499" s="137"/>
      <c r="V499" s="137"/>
      <c r="W499" s="156" t="str">
        <f t="shared" si="55"/>
        <v/>
      </c>
      <c r="X499" s="157"/>
      <c r="Y499" s="158"/>
      <c r="Z499" s="158"/>
      <c r="AA499" s="137" t="str">
        <f t="shared" ca="1" si="56"/>
        <v/>
      </c>
      <c r="AB499" s="137" t="str">
        <f t="shared" ca="1" si="52"/>
        <v/>
      </c>
      <c r="AC499" s="160" t="str">
        <f t="shared" ca="1" si="53"/>
        <v/>
      </c>
      <c r="AD499" s="159" t="str">
        <f t="shared" ca="1" si="54"/>
        <v/>
      </c>
      <c r="AE499" s="161"/>
      <c r="AF499" s="161"/>
      <c r="AG499" s="161"/>
      <c r="AH499" s="137"/>
      <c r="AI499" s="164" t="str">
        <f t="shared" si="57"/>
        <v/>
      </c>
      <c r="AJ499" s="164" t="str">
        <f>IF(AND(OpenPendingCases[[#This Row],[Sale Status	]]="Open Sale",OpenPendingCases[[#This Row],[Potential Same Month]]="High"),TEXT(OpenPendingCases[[#This Row],[Request Entry Date]], "[$-en-us]mmmm"),"")</f>
        <v/>
      </c>
      <c r="AK499" s="165" t="str">
        <f>IFERROR(VALUE(SUBSTITUTE(OpenPendingCases[[#This Row],[Price]]," AED","")),"")</f>
        <v/>
      </c>
      <c r="AL499" s="165" t="str">
        <f>IFERROR(VALUE(LEFT(OpenPendingCases[[#This Row],[Price]],FIND(" ",OpenPendingCases[[#This Row],[Price]])-1)),"")</f>
        <v/>
      </c>
      <c r="AM499" s="165" t="str">
        <f>IFERROR(VALUE(_xlfn.TEXTBEFORE(OpenPendingCases[[#This Row],[Price]]," AED")),"")</f>
        <v/>
      </c>
      <c r="AN499" s="165"/>
    </row>
    <row r="500" spans="3:40" ht="18" hidden="1" x14ac:dyDescent="0.35">
      <c r="C500" s="134"/>
      <c r="D500" s="137" t="str">
        <f>IF($U500="Open Sale", IF(MAX($D$4:D499)+1=0, "", MAX($D$4:D499)+1), "")</f>
        <v/>
      </c>
      <c r="E500" s="137" t="str">
        <f>IF($U500="Pending Allocation", IF(MAX($E$4:E499)+1=0, "", MAX($E$4:E499)+1), "")</f>
        <v/>
      </c>
      <c r="F500" s="137"/>
      <c r="G500" s="137"/>
      <c r="H500" s="150"/>
      <c r="I500" s="150"/>
      <c r="J500" s="68" t="str">
        <f>IF(OpenPendingCases[[#This Row],[Timepiece Reference ]]="", "", IF(_xlfn.XLOOKUP(OpenPendingCases[[#This Row],[Timepiece Reference ]], Table1[[Timepiece Reference ]], Table1[CRC STOCK], "Not Found")="YES", "CRC Stock", "Boutique Stock"))</f>
        <v/>
      </c>
      <c r="K500" s="137" t="str">
        <f>IF(OpenPendingCases[[#This Row],[Timepiece Reference ]]="", "", IF(_xlfn.XLOOKUP(OpenPendingCases[[#This Row],[Timepiece Reference ]], Table1[[Timepiece Reference ]], Table1[CRC STOCK], "Not Found")="YES", "CRC Stock", "Boutique Stock"))</f>
        <v/>
      </c>
      <c r="L500" s="143"/>
      <c r="M500" s="141"/>
      <c r="N500" s="137"/>
      <c r="O500" s="134"/>
      <c r="P500" s="94" t="str">
        <f>IFERROR(VLOOKUP(TRIM(O500), Collection!$B$2:$D$1001, 2, FALSE), "")</f>
        <v/>
      </c>
      <c r="Q500" s="190" t="str">
        <f>IFERROR(VLOOKUP(TRIM(O500), Collection!$B$2:$D$1001, 3, FALSE), "")</f>
        <v/>
      </c>
      <c r="R500" s="153" t="str">
        <f t="shared" si="51"/>
        <v/>
      </c>
      <c r="S500" s="151"/>
      <c r="T500" s="158"/>
      <c r="U500" s="137"/>
      <c r="V500" s="137"/>
      <c r="W500" s="156" t="str">
        <f t="shared" si="55"/>
        <v/>
      </c>
      <c r="X500" s="157"/>
      <c r="Y500" s="158"/>
      <c r="Z500" s="158"/>
      <c r="AA500" s="137" t="str">
        <f t="shared" ca="1" si="56"/>
        <v/>
      </c>
      <c r="AB500" s="137" t="str">
        <f t="shared" ca="1" si="52"/>
        <v/>
      </c>
      <c r="AC500" s="160" t="str">
        <f t="shared" ca="1" si="53"/>
        <v/>
      </c>
      <c r="AD500" s="159" t="str">
        <f t="shared" ca="1" si="54"/>
        <v/>
      </c>
      <c r="AE500" s="161"/>
      <c r="AF500" s="161"/>
      <c r="AG500" s="161"/>
      <c r="AH500" s="137"/>
      <c r="AI500" s="164" t="str">
        <f t="shared" si="57"/>
        <v/>
      </c>
      <c r="AJ500" s="164" t="str">
        <f>IF(AND(OpenPendingCases[[#This Row],[Sale Status	]]="Open Sale",OpenPendingCases[[#This Row],[Potential Same Month]]="High"),TEXT(OpenPendingCases[[#This Row],[Request Entry Date]], "[$-en-us]mmmm"),"")</f>
        <v/>
      </c>
      <c r="AK500" s="165" t="str">
        <f>IFERROR(VALUE(SUBSTITUTE(OpenPendingCases[[#This Row],[Price]]," AED","")),"")</f>
        <v/>
      </c>
      <c r="AL500" s="165" t="str">
        <f>IFERROR(VALUE(LEFT(OpenPendingCases[[#This Row],[Price]],FIND(" ",OpenPendingCases[[#This Row],[Price]])-1)),"")</f>
        <v/>
      </c>
      <c r="AM500" s="165" t="str">
        <f>IFERROR(VALUE(_xlfn.TEXTBEFORE(OpenPendingCases[[#This Row],[Price]]," AED")),"")</f>
        <v/>
      </c>
      <c r="AN500" s="165"/>
    </row>
    <row r="501" spans="3:40" ht="18" hidden="1" x14ac:dyDescent="0.35">
      <c r="C501" s="134"/>
      <c r="D501" s="137" t="str">
        <f>IF($U501="Open Sale", IF(MAX($D$4:D500)+1=0, "", MAX($D$4:D500)+1), "")</f>
        <v/>
      </c>
      <c r="E501" s="137" t="str">
        <f>IF($U501="Pending Allocation", IF(MAX($E$4:E500)+1=0, "", MAX($E$4:E500)+1), "")</f>
        <v/>
      </c>
      <c r="F501" s="137"/>
      <c r="G501" s="137"/>
      <c r="H501" s="150"/>
      <c r="I501" s="150"/>
      <c r="J501" s="68" t="str">
        <f>IF(OpenPendingCases[[#This Row],[Timepiece Reference ]]="", "", IF(_xlfn.XLOOKUP(OpenPendingCases[[#This Row],[Timepiece Reference ]], Table1[[Timepiece Reference ]], Table1[CRC STOCK], "Not Found")="YES", "CRC Stock", "Boutique Stock"))</f>
        <v/>
      </c>
      <c r="K501" s="137" t="str">
        <f>IF(OpenPendingCases[[#This Row],[Timepiece Reference ]]="", "", IF(_xlfn.XLOOKUP(OpenPendingCases[[#This Row],[Timepiece Reference ]], Table1[[Timepiece Reference ]], Table1[CRC STOCK], "Not Found")="YES", "CRC Stock", "Boutique Stock"))</f>
        <v/>
      </c>
      <c r="L501" s="143"/>
      <c r="M501" s="141"/>
      <c r="N501" s="137"/>
      <c r="O501" s="134"/>
      <c r="P501" s="94" t="str">
        <f>IFERROR(VLOOKUP(TRIM(O501), Collection!$B$2:$D$1001, 2, FALSE), "")</f>
        <v/>
      </c>
      <c r="Q501" s="190" t="str">
        <f>IFERROR(VLOOKUP(TRIM(O501), Collection!$B$2:$D$1001, 3, FALSE), "")</f>
        <v/>
      </c>
      <c r="R501" s="153" t="str">
        <f t="shared" si="51"/>
        <v/>
      </c>
      <c r="S501" s="151"/>
      <c r="T501" s="158"/>
      <c r="U501" s="137"/>
      <c r="V501" s="137"/>
      <c r="W501" s="156" t="str">
        <f t="shared" si="55"/>
        <v/>
      </c>
      <c r="X501" s="157"/>
      <c r="Y501" s="158"/>
      <c r="Z501" s="158"/>
      <c r="AA501" s="137" t="str">
        <f t="shared" ca="1" si="56"/>
        <v/>
      </c>
      <c r="AB501" s="137" t="str">
        <f t="shared" ca="1" si="52"/>
        <v/>
      </c>
      <c r="AC501" s="160" t="str">
        <f t="shared" ca="1" si="53"/>
        <v/>
      </c>
      <c r="AD501" s="159" t="str">
        <f t="shared" ca="1" si="54"/>
        <v/>
      </c>
      <c r="AE501" s="161"/>
      <c r="AF501" s="161"/>
      <c r="AG501" s="161"/>
      <c r="AH501" s="137"/>
      <c r="AI501" s="164" t="str">
        <f t="shared" si="57"/>
        <v/>
      </c>
      <c r="AJ501" s="164" t="str">
        <f>IF(AND(OpenPendingCases[[#This Row],[Sale Status	]]="Open Sale",OpenPendingCases[[#This Row],[Potential Same Month]]="High"),TEXT(OpenPendingCases[[#This Row],[Request Entry Date]], "[$-en-us]mmmm"),"")</f>
        <v/>
      </c>
      <c r="AK501" s="165" t="str">
        <f>IFERROR(VALUE(SUBSTITUTE(OpenPendingCases[[#This Row],[Price]]," AED","")),"")</f>
        <v/>
      </c>
      <c r="AL501" s="165" t="str">
        <f>IFERROR(VALUE(LEFT(OpenPendingCases[[#This Row],[Price]],FIND(" ",OpenPendingCases[[#This Row],[Price]])-1)),"")</f>
        <v/>
      </c>
      <c r="AM501" s="165" t="str">
        <f>IFERROR(VALUE(_xlfn.TEXTBEFORE(OpenPendingCases[[#This Row],[Price]]," AED")),"")</f>
        <v/>
      </c>
      <c r="AN501" s="165"/>
    </row>
    <row r="502" spans="3:40" ht="18" hidden="1" x14ac:dyDescent="0.35">
      <c r="C502" s="134"/>
      <c r="D502" s="137" t="str">
        <f>IF($U502="Open Sale", IF(MAX($D$4:D501)+1=0, "", MAX($D$4:D501)+1), "")</f>
        <v/>
      </c>
      <c r="E502" s="137" t="str">
        <f>IF($U502="Pending Allocation", IF(MAX($E$4:E501)+1=0, "", MAX($E$4:E501)+1), "")</f>
        <v/>
      </c>
      <c r="F502" s="137"/>
      <c r="G502" s="137"/>
      <c r="H502" s="150"/>
      <c r="I502" s="150"/>
      <c r="J502" s="68" t="str">
        <f>IF(OpenPendingCases[[#This Row],[Timepiece Reference ]]="", "", IF(_xlfn.XLOOKUP(OpenPendingCases[[#This Row],[Timepiece Reference ]], Table1[[Timepiece Reference ]], Table1[CRC STOCK], "Not Found")="YES", "CRC Stock", "Boutique Stock"))</f>
        <v/>
      </c>
      <c r="K502" s="137" t="str">
        <f>IF(OpenPendingCases[[#This Row],[Timepiece Reference ]]="", "", IF(_xlfn.XLOOKUP(OpenPendingCases[[#This Row],[Timepiece Reference ]], Table1[[Timepiece Reference ]], Table1[CRC STOCK], "Not Found")="YES", "CRC Stock", "Boutique Stock"))</f>
        <v/>
      </c>
      <c r="L502" s="143"/>
      <c r="M502" s="141"/>
      <c r="N502" s="137"/>
      <c r="O502" s="134"/>
      <c r="P502" s="94" t="str">
        <f>IFERROR(VLOOKUP(TRIM(O502), Collection!$B$2:$D$1001, 2, FALSE), "")</f>
        <v/>
      </c>
      <c r="Q502" s="190" t="str">
        <f>IFERROR(VLOOKUP(TRIM(O502), Collection!$B$2:$D$1001, 3, FALSE), "")</f>
        <v/>
      </c>
      <c r="R502" s="153" t="str">
        <f t="shared" si="51"/>
        <v/>
      </c>
      <c r="S502" s="151"/>
      <c r="T502" s="158"/>
      <c r="U502" s="137"/>
      <c r="V502" s="137"/>
      <c r="W502" s="156" t="str">
        <f t="shared" si="55"/>
        <v/>
      </c>
      <c r="X502" s="157"/>
      <c r="Y502" s="158"/>
      <c r="Z502" s="158"/>
      <c r="AA502" s="137" t="str">
        <f t="shared" ca="1" si="56"/>
        <v/>
      </c>
      <c r="AB502" s="137" t="str">
        <f t="shared" ca="1" si="52"/>
        <v/>
      </c>
      <c r="AC502" s="160" t="str">
        <f t="shared" ca="1" si="53"/>
        <v/>
      </c>
      <c r="AD502" s="159" t="str">
        <f t="shared" ca="1" si="54"/>
        <v/>
      </c>
      <c r="AE502" s="161"/>
      <c r="AF502" s="161"/>
      <c r="AG502" s="161"/>
      <c r="AH502" s="137"/>
      <c r="AI502" s="164" t="str">
        <f t="shared" si="57"/>
        <v/>
      </c>
      <c r="AJ502" s="164" t="str">
        <f>IF(AND(OpenPendingCases[[#This Row],[Sale Status	]]="Open Sale",OpenPendingCases[[#This Row],[Potential Same Month]]="High"),TEXT(OpenPendingCases[[#This Row],[Request Entry Date]], "[$-en-us]mmmm"),"")</f>
        <v/>
      </c>
      <c r="AK502" s="165" t="str">
        <f>IFERROR(VALUE(SUBSTITUTE(OpenPendingCases[[#This Row],[Price]]," AED","")),"")</f>
        <v/>
      </c>
      <c r="AL502" s="165" t="str">
        <f>IFERROR(VALUE(LEFT(OpenPendingCases[[#This Row],[Price]],FIND(" ",OpenPendingCases[[#This Row],[Price]])-1)),"")</f>
        <v/>
      </c>
      <c r="AM502" s="165" t="str">
        <f>IFERROR(VALUE(_xlfn.TEXTBEFORE(OpenPendingCases[[#This Row],[Price]]," AED")),"")</f>
        <v/>
      </c>
      <c r="AN502" s="165"/>
    </row>
    <row r="503" spans="3:40" ht="18" hidden="1" x14ac:dyDescent="0.35">
      <c r="C503" s="134"/>
      <c r="D503" s="137" t="str">
        <f>IF($U503="Open Sale", IF(MAX($D$4:D502)+1=0, "", MAX($D$4:D502)+1), "")</f>
        <v/>
      </c>
      <c r="E503" s="137" t="str">
        <f>IF($U503="Pending Allocation", IF(MAX($E$4:E502)+1=0, "", MAX($E$4:E502)+1), "")</f>
        <v/>
      </c>
      <c r="F503" s="137"/>
      <c r="G503" s="137"/>
      <c r="H503" s="150"/>
      <c r="I503" s="150"/>
      <c r="J503" s="68" t="str">
        <f>IF(OpenPendingCases[[#This Row],[Timepiece Reference ]]="", "", IF(_xlfn.XLOOKUP(OpenPendingCases[[#This Row],[Timepiece Reference ]], Table1[[Timepiece Reference ]], Table1[CRC STOCK], "Not Found")="YES", "CRC Stock", "Boutique Stock"))</f>
        <v/>
      </c>
      <c r="K503" s="137" t="str">
        <f>IF(OpenPendingCases[[#This Row],[Timepiece Reference ]]="", "", IF(_xlfn.XLOOKUP(OpenPendingCases[[#This Row],[Timepiece Reference ]], Table1[[Timepiece Reference ]], Table1[CRC STOCK], "Not Found")="YES", "CRC Stock", "Boutique Stock"))</f>
        <v/>
      </c>
      <c r="L503" s="143"/>
      <c r="M503" s="141"/>
      <c r="N503" s="137"/>
      <c r="O503" s="134"/>
      <c r="P503" s="94" t="str">
        <f>IFERROR(VLOOKUP(TRIM(O503), Collection!$B$2:$D$1001, 2, FALSE), "")</f>
        <v/>
      </c>
      <c r="Q503" s="190" t="str">
        <f>IFERROR(VLOOKUP(TRIM(O503), Collection!$B$2:$D$1001, 3, FALSE), "")</f>
        <v/>
      </c>
      <c r="R503" s="153" t="str">
        <f t="shared" si="51"/>
        <v/>
      </c>
      <c r="S503" s="151"/>
      <c r="T503" s="158"/>
      <c r="U503" s="137"/>
      <c r="V503" s="137"/>
      <c r="W503" s="156" t="str">
        <f t="shared" si="55"/>
        <v/>
      </c>
      <c r="X503" s="157"/>
      <c r="Y503" s="158"/>
      <c r="Z503" s="158"/>
      <c r="AA503" s="137" t="str">
        <f t="shared" ca="1" si="56"/>
        <v/>
      </c>
      <c r="AB503" s="137" t="str">
        <f t="shared" ca="1" si="52"/>
        <v/>
      </c>
      <c r="AC503" s="160" t="str">
        <f t="shared" ca="1" si="53"/>
        <v/>
      </c>
      <c r="AD503" s="159" t="str">
        <f t="shared" ca="1" si="54"/>
        <v/>
      </c>
      <c r="AE503" s="161"/>
      <c r="AF503" s="161"/>
      <c r="AG503" s="161"/>
      <c r="AH503" s="137"/>
      <c r="AI503" s="164" t="str">
        <f t="shared" si="57"/>
        <v/>
      </c>
      <c r="AJ503" s="164" t="str">
        <f>IF(AND(OpenPendingCases[[#This Row],[Sale Status	]]="Open Sale",OpenPendingCases[[#This Row],[Potential Same Month]]="High"),TEXT(OpenPendingCases[[#This Row],[Request Entry Date]], "[$-en-us]mmmm"),"")</f>
        <v/>
      </c>
      <c r="AK503" s="165" t="str">
        <f>IFERROR(VALUE(SUBSTITUTE(OpenPendingCases[[#This Row],[Price]]," AED","")),"")</f>
        <v/>
      </c>
      <c r="AL503" s="165" t="str">
        <f>IFERROR(VALUE(LEFT(OpenPendingCases[[#This Row],[Price]],FIND(" ",OpenPendingCases[[#This Row],[Price]])-1)),"")</f>
        <v/>
      </c>
      <c r="AM503" s="165" t="str">
        <f>IFERROR(VALUE(_xlfn.TEXTBEFORE(OpenPendingCases[[#This Row],[Price]]," AED")),"")</f>
        <v/>
      </c>
      <c r="AN503" s="165"/>
    </row>
    <row r="504" spans="3:40" ht="18" hidden="1" x14ac:dyDescent="0.35">
      <c r="C504" s="134"/>
      <c r="D504" s="137" t="str">
        <f>IF($U504="Open Sale", IF(MAX($D$4:D503)+1=0, "", MAX($D$4:D503)+1), "")</f>
        <v/>
      </c>
      <c r="E504" s="137" t="str">
        <f>IF($U504="Pending Allocation", IF(MAX($E$4:E503)+1=0, "", MAX($E$4:E503)+1), "")</f>
        <v/>
      </c>
      <c r="F504" s="137"/>
      <c r="G504" s="137"/>
      <c r="H504" s="150"/>
      <c r="I504" s="150"/>
      <c r="J504" s="68" t="str">
        <f>IF(OpenPendingCases[[#This Row],[Timepiece Reference ]]="", "", IF(_xlfn.XLOOKUP(OpenPendingCases[[#This Row],[Timepiece Reference ]], Table1[[Timepiece Reference ]], Table1[CRC STOCK], "Not Found")="YES", "CRC Stock", "Boutique Stock"))</f>
        <v/>
      </c>
      <c r="K504" s="137" t="str">
        <f>IF(OpenPendingCases[[#This Row],[Timepiece Reference ]]="", "", IF(_xlfn.XLOOKUP(OpenPendingCases[[#This Row],[Timepiece Reference ]], Table1[[Timepiece Reference ]], Table1[CRC STOCK], "Not Found")="YES", "CRC Stock", "Boutique Stock"))</f>
        <v/>
      </c>
      <c r="L504" s="143"/>
      <c r="M504" s="141"/>
      <c r="N504" s="137"/>
      <c r="O504" s="134"/>
      <c r="P504" s="94" t="str">
        <f>IFERROR(VLOOKUP(TRIM(O504), Collection!$B$2:$D$1001, 2, FALSE), "")</f>
        <v/>
      </c>
      <c r="Q504" s="190" t="str">
        <f>IFERROR(VLOOKUP(TRIM(O504), Collection!$B$2:$D$1001, 3, FALSE), "")</f>
        <v/>
      </c>
      <c r="R504" s="153" t="str">
        <f t="shared" si="51"/>
        <v/>
      </c>
      <c r="S504" s="151"/>
      <c r="T504" s="158"/>
      <c r="U504" s="137"/>
      <c r="V504" s="137"/>
      <c r="W504" s="156" t="str">
        <f t="shared" si="55"/>
        <v/>
      </c>
      <c r="X504" s="157"/>
      <c r="Y504" s="158"/>
      <c r="Z504" s="158"/>
      <c r="AA504" s="137" t="str">
        <f t="shared" ca="1" si="56"/>
        <v/>
      </c>
      <c r="AB504" s="137" t="str">
        <f t="shared" ca="1" si="52"/>
        <v/>
      </c>
      <c r="AC504" s="160" t="str">
        <f t="shared" ca="1" si="53"/>
        <v/>
      </c>
      <c r="AD504" s="159" t="str">
        <f t="shared" ca="1" si="54"/>
        <v/>
      </c>
      <c r="AE504" s="161"/>
      <c r="AF504" s="161"/>
      <c r="AG504" s="161"/>
      <c r="AH504" s="137"/>
      <c r="AI504" s="164" t="str">
        <f t="shared" si="57"/>
        <v/>
      </c>
      <c r="AJ504" s="164" t="str">
        <f>IF(AND(OpenPendingCases[[#This Row],[Sale Status	]]="Open Sale",OpenPendingCases[[#This Row],[Potential Same Month]]="High"),TEXT(OpenPendingCases[[#This Row],[Request Entry Date]], "[$-en-us]mmmm"),"")</f>
        <v/>
      </c>
      <c r="AK504" s="165" t="str">
        <f>IFERROR(VALUE(SUBSTITUTE(OpenPendingCases[[#This Row],[Price]]," AED","")),"")</f>
        <v/>
      </c>
      <c r="AL504" s="165" t="str">
        <f>IFERROR(VALUE(LEFT(OpenPendingCases[[#This Row],[Price]],FIND(" ",OpenPendingCases[[#This Row],[Price]])-1)),"")</f>
        <v/>
      </c>
      <c r="AM504" s="165" t="str">
        <f>IFERROR(VALUE(_xlfn.TEXTBEFORE(OpenPendingCases[[#This Row],[Price]]," AED")),"")</f>
        <v/>
      </c>
      <c r="AN504" s="165"/>
    </row>
    <row r="505" spans="3:40" ht="18" hidden="1" x14ac:dyDescent="0.35">
      <c r="C505" s="134"/>
      <c r="D505" s="137" t="str">
        <f>IF($U505="Open Sale", IF(MAX($D$4:D504)+1=0, "", MAX($D$4:D504)+1), "")</f>
        <v/>
      </c>
      <c r="E505" s="137" t="str">
        <f>IF($U505="Pending Allocation", IF(MAX($E$4:E504)+1=0, "", MAX($E$4:E504)+1), "")</f>
        <v/>
      </c>
      <c r="F505" s="137"/>
      <c r="G505" s="137"/>
      <c r="H505" s="150"/>
      <c r="I505" s="150"/>
      <c r="J505" s="68" t="str">
        <f>IF(OpenPendingCases[[#This Row],[Timepiece Reference ]]="", "", IF(_xlfn.XLOOKUP(OpenPendingCases[[#This Row],[Timepiece Reference ]], Table1[[Timepiece Reference ]], Table1[CRC STOCK], "Not Found")="YES", "CRC Stock", "Boutique Stock"))</f>
        <v/>
      </c>
      <c r="K505" s="137" t="str">
        <f>IF(OpenPendingCases[[#This Row],[Timepiece Reference ]]="", "", IF(_xlfn.XLOOKUP(OpenPendingCases[[#This Row],[Timepiece Reference ]], Table1[[Timepiece Reference ]], Table1[CRC STOCK], "Not Found")="YES", "CRC Stock", "Boutique Stock"))</f>
        <v/>
      </c>
      <c r="L505" s="143"/>
      <c r="M505" s="141"/>
      <c r="N505" s="137"/>
      <c r="O505" s="134"/>
      <c r="P505" s="94" t="str">
        <f>IFERROR(VLOOKUP(TRIM(O505), Collection!$B$2:$D$1001, 2, FALSE), "")</f>
        <v/>
      </c>
      <c r="Q505" s="190" t="str">
        <f>IFERROR(VLOOKUP(TRIM(O505), Collection!$B$2:$D$1001, 3, FALSE), "")</f>
        <v/>
      </c>
      <c r="R505" s="153" t="str">
        <f t="shared" si="51"/>
        <v/>
      </c>
      <c r="S505" s="151"/>
      <c r="T505" s="158"/>
      <c r="U505" s="137"/>
      <c r="V505" s="137"/>
      <c r="W505" s="156" t="str">
        <f t="shared" si="55"/>
        <v/>
      </c>
      <c r="X505" s="157"/>
      <c r="Y505" s="158"/>
      <c r="Z505" s="158"/>
      <c r="AA505" s="137" t="str">
        <f t="shared" ca="1" si="56"/>
        <v/>
      </c>
      <c r="AB505" s="137" t="str">
        <f t="shared" ca="1" si="52"/>
        <v/>
      </c>
      <c r="AC505" s="160" t="str">
        <f t="shared" ca="1" si="53"/>
        <v/>
      </c>
      <c r="AD505" s="159" t="str">
        <f t="shared" ca="1" si="54"/>
        <v/>
      </c>
      <c r="AE505" s="161"/>
      <c r="AF505" s="161"/>
      <c r="AG505" s="161"/>
      <c r="AH505" s="137"/>
      <c r="AI505" s="164" t="str">
        <f t="shared" si="57"/>
        <v/>
      </c>
      <c r="AJ505" s="164" t="str">
        <f>IF(AND(OpenPendingCases[[#This Row],[Sale Status	]]="Open Sale",OpenPendingCases[[#This Row],[Potential Same Month]]="High"),TEXT(OpenPendingCases[[#This Row],[Request Entry Date]], "[$-en-us]mmmm"),"")</f>
        <v/>
      </c>
      <c r="AK505" s="165" t="str">
        <f>IFERROR(VALUE(SUBSTITUTE(OpenPendingCases[[#This Row],[Price]]," AED","")),"")</f>
        <v/>
      </c>
      <c r="AL505" s="165" t="str">
        <f>IFERROR(VALUE(LEFT(OpenPendingCases[[#This Row],[Price]],FIND(" ",OpenPendingCases[[#This Row],[Price]])-1)),"")</f>
        <v/>
      </c>
      <c r="AM505" s="165" t="str">
        <f>IFERROR(VALUE(_xlfn.TEXTBEFORE(OpenPendingCases[[#This Row],[Price]]," AED")),"")</f>
        <v/>
      </c>
      <c r="AN505" s="165"/>
    </row>
    <row r="506" spans="3:40" ht="18" hidden="1" x14ac:dyDescent="0.35">
      <c r="C506" s="134"/>
      <c r="D506" s="137" t="str">
        <f>IF($U506="Open Sale", IF(MAX($D$4:D505)+1=0, "", MAX($D$4:D505)+1), "")</f>
        <v/>
      </c>
      <c r="E506" s="137" t="str">
        <f>IF($U506="Pending Allocation", IF(MAX($E$4:E505)+1=0, "", MAX($E$4:E505)+1), "")</f>
        <v/>
      </c>
      <c r="F506" s="137"/>
      <c r="G506" s="137"/>
      <c r="H506" s="150"/>
      <c r="I506" s="150"/>
      <c r="J506" s="68" t="str">
        <f>IF(OpenPendingCases[[#This Row],[Timepiece Reference ]]="", "", IF(_xlfn.XLOOKUP(OpenPendingCases[[#This Row],[Timepiece Reference ]], Table1[[Timepiece Reference ]], Table1[CRC STOCK], "Not Found")="YES", "CRC Stock", "Boutique Stock"))</f>
        <v/>
      </c>
      <c r="K506" s="137" t="str">
        <f>IF(OpenPendingCases[[#This Row],[Timepiece Reference ]]="", "", IF(_xlfn.XLOOKUP(OpenPendingCases[[#This Row],[Timepiece Reference ]], Table1[[Timepiece Reference ]], Table1[CRC STOCK], "Not Found")="YES", "CRC Stock", "Boutique Stock"))</f>
        <v/>
      </c>
      <c r="L506" s="143"/>
      <c r="M506" s="141"/>
      <c r="N506" s="137"/>
      <c r="O506" s="134"/>
      <c r="P506" s="94" t="str">
        <f>IFERROR(VLOOKUP(TRIM(O506), Collection!$B$2:$D$1001, 2, FALSE), "")</f>
        <v/>
      </c>
      <c r="Q506" s="190" t="str">
        <f>IFERROR(VLOOKUP(TRIM(O506), Collection!$B$2:$D$1001, 3, FALSE), "")</f>
        <v/>
      </c>
      <c r="R506" s="153" t="str">
        <f t="shared" si="51"/>
        <v/>
      </c>
      <c r="S506" s="151"/>
      <c r="T506" s="158"/>
      <c r="U506" s="137"/>
      <c r="V506" s="137"/>
      <c r="W506" s="156" t="str">
        <f t="shared" si="55"/>
        <v/>
      </c>
      <c r="X506" s="157"/>
      <c r="Y506" s="158"/>
      <c r="Z506" s="158"/>
      <c r="AA506" s="137" t="str">
        <f t="shared" ca="1" si="56"/>
        <v/>
      </c>
      <c r="AB506" s="137" t="str">
        <f t="shared" ca="1" si="52"/>
        <v/>
      </c>
      <c r="AC506" s="160" t="str">
        <f t="shared" ca="1" si="53"/>
        <v/>
      </c>
      <c r="AD506" s="159" t="str">
        <f t="shared" ca="1" si="54"/>
        <v/>
      </c>
      <c r="AE506" s="161"/>
      <c r="AF506" s="161"/>
      <c r="AG506" s="161"/>
      <c r="AH506" s="137"/>
      <c r="AI506" s="164" t="str">
        <f t="shared" si="57"/>
        <v/>
      </c>
      <c r="AJ506" s="164" t="str">
        <f>IF(AND(OpenPendingCases[[#This Row],[Sale Status	]]="Open Sale",OpenPendingCases[[#This Row],[Potential Same Month]]="High"),TEXT(OpenPendingCases[[#This Row],[Request Entry Date]], "[$-en-us]mmmm"),"")</f>
        <v/>
      </c>
      <c r="AK506" s="165" t="str">
        <f>IFERROR(VALUE(SUBSTITUTE(OpenPendingCases[[#This Row],[Price]]," AED","")),"")</f>
        <v/>
      </c>
      <c r="AL506" s="165" t="str">
        <f>IFERROR(VALUE(LEFT(OpenPendingCases[[#This Row],[Price]],FIND(" ",OpenPendingCases[[#This Row],[Price]])-1)),"")</f>
        <v/>
      </c>
      <c r="AM506" s="165" t="str">
        <f>IFERROR(VALUE(_xlfn.TEXTBEFORE(OpenPendingCases[[#This Row],[Price]]," AED")),"")</f>
        <v/>
      </c>
      <c r="AN506" s="165"/>
    </row>
    <row r="507" spans="3:40" ht="18" hidden="1" x14ac:dyDescent="0.35">
      <c r="C507" s="134"/>
      <c r="D507" s="137" t="str">
        <f>IF($U507="Open Sale", IF(MAX($D$4:D506)+1=0, "", MAX($D$4:D506)+1), "")</f>
        <v/>
      </c>
      <c r="E507" s="137" t="str">
        <f>IF($U507="Pending Allocation", IF(MAX($E$4:E506)+1=0, "", MAX($E$4:E506)+1), "")</f>
        <v/>
      </c>
      <c r="F507" s="137"/>
      <c r="G507" s="137"/>
      <c r="H507" s="150"/>
      <c r="I507" s="150"/>
      <c r="J507" s="68" t="str">
        <f>IF(OpenPendingCases[[#This Row],[Timepiece Reference ]]="", "", IF(_xlfn.XLOOKUP(OpenPendingCases[[#This Row],[Timepiece Reference ]], Table1[[Timepiece Reference ]], Table1[CRC STOCK], "Not Found")="YES", "CRC Stock", "Boutique Stock"))</f>
        <v/>
      </c>
      <c r="K507" s="137" t="str">
        <f>IF(OpenPendingCases[[#This Row],[Timepiece Reference ]]="", "", IF(_xlfn.XLOOKUP(OpenPendingCases[[#This Row],[Timepiece Reference ]], Table1[[Timepiece Reference ]], Table1[CRC STOCK], "Not Found")="YES", "CRC Stock", "Boutique Stock"))</f>
        <v/>
      </c>
      <c r="L507" s="143"/>
      <c r="M507" s="141"/>
      <c r="N507" s="137"/>
      <c r="O507" s="134"/>
      <c r="P507" s="94" t="str">
        <f>IFERROR(VLOOKUP(TRIM(O507), Collection!$B$2:$D$1001, 2, FALSE), "")</f>
        <v/>
      </c>
      <c r="Q507" s="190" t="str">
        <f>IFERROR(VLOOKUP(TRIM(O507), Collection!$B$2:$D$1001, 3, FALSE), "")</f>
        <v/>
      </c>
      <c r="R507" s="153" t="str">
        <f t="shared" si="51"/>
        <v/>
      </c>
      <c r="S507" s="151"/>
      <c r="T507" s="158"/>
      <c r="U507" s="137"/>
      <c r="V507" s="137"/>
      <c r="W507" s="156" t="str">
        <f t="shared" si="55"/>
        <v/>
      </c>
      <c r="X507" s="157"/>
      <c r="Y507" s="158"/>
      <c r="Z507" s="158"/>
      <c r="AA507" s="137" t="str">
        <f t="shared" ca="1" si="56"/>
        <v/>
      </c>
      <c r="AB507" s="137" t="str">
        <f t="shared" ca="1" si="52"/>
        <v/>
      </c>
      <c r="AC507" s="160" t="str">
        <f t="shared" ca="1" si="53"/>
        <v/>
      </c>
      <c r="AD507" s="159" t="str">
        <f t="shared" ca="1" si="54"/>
        <v/>
      </c>
      <c r="AE507" s="161"/>
      <c r="AF507" s="161"/>
      <c r="AG507" s="161"/>
      <c r="AH507" s="137"/>
      <c r="AI507" s="164" t="str">
        <f t="shared" si="57"/>
        <v/>
      </c>
      <c r="AJ507" s="164" t="str">
        <f>IF(AND(OpenPendingCases[[#This Row],[Sale Status	]]="Open Sale",OpenPendingCases[[#This Row],[Potential Same Month]]="High"),TEXT(OpenPendingCases[[#This Row],[Request Entry Date]], "[$-en-us]mmmm"),"")</f>
        <v/>
      </c>
      <c r="AK507" s="165" t="str">
        <f>IFERROR(VALUE(SUBSTITUTE(OpenPendingCases[[#This Row],[Price]]," AED","")),"")</f>
        <v/>
      </c>
      <c r="AL507" s="165" t="str">
        <f>IFERROR(VALUE(LEFT(OpenPendingCases[[#This Row],[Price]],FIND(" ",OpenPendingCases[[#This Row],[Price]])-1)),"")</f>
        <v/>
      </c>
      <c r="AM507" s="165" t="str">
        <f>IFERROR(VALUE(_xlfn.TEXTBEFORE(OpenPendingCases[[#This Row],[Price]]," AED")),"")</f>
        <v/>
      </c>
      <c r="AN507" s="165"/>
    </row>
    <row r="508" spans="3:40" ht="18" hidden="1" x14ac:dyDescent="0.35">
      <c r="C508" s="134"/>
      <c r="D508" s="137" t="str">
        <f>IF($U508="Open Sale", IF(MAX($D$4:D507)+1=0, "", MAX($D$4:D507)+1), "")</f>
        <v/>
      </c>
      <c r="E508" s="137" t="str">
        <f>IF($U508="Pending Allocation", IF(MAX($E$4:E507)+1=0, "", MAX($E$4:E507)+1), "")</f>
        <v/>
      </c>
      <c r="F508" s="137"/>
      <c r="G508" s="137"/>
      <c r="H508" s="150"/>
      <c r="I508" s="150"/>
      <c r="J508" s="68" t="str">
        <f>IF(OpenPendingCases[[#This Row],[Timepiece Reference ]]="", "", IF(_xlfn.XLOOKUP(OpenPendingCases[[#This Row],[Timepiece Reference ]], Table1[[Timepiece Reference ]], Table1[CRC STOCK], "Not Found")="YES", "CRC Stock", "Boutique Stock"))</f>
        <v/>
      </c>
      <c r="K508" s="137" t="str">
        <f>IF(OpenPendingCases[[#This Row],[Timepiece Reference ]]="", "", IF(_xlfn.XLOOKUP(OpenPendingCases[[#This Row],[Timepiece Reference ]], Table1[[Timepiece Reference ]], Table1[CRC STOCK], "Not Found")="YES", "CRC Stock", "Boutique Stock"))</f>
        <v/>
      </c>
      <c r="L508" s="143"/>
      <c r="M508" s="141"/>
      <c r="N508" s="137"/>
      <c r="O508" s="134"/>
      <c r="P508" s="94" t="str">
        <f>IFERROR(VLOOKUP(TRIM(O508), Collection!$B$2:$D$1001, 2, FALSE), "")</f>
        <v/>
      </c>
      <c r="Q508" s="190" t="str">
        <f>IFERROR(VLOOKUP(TRIM(O508), Collection!$B$2:$D$1001, 3, FALSE), "")</f>
        <v/>
      </c>
      <c r="R508" s="153" t="str">
        <f t="shared" si="51"/>
        <v/>
      </c>
      <c r="S508" s="151"/>
      <c r="T508" s="158"/>
      <c r="U508" s="137"/>
      <c r="V508" s="137"/>
      <c r="W508" s="156" t="str">
        <f t="shared" si="55"/>
        <v/>
      </c>
      <c r="X508" s="157"/>
      <c r="Y508" s="158"/>
      <c r="Z508" s="158"/>
      <c r="AA508" s="137" t="str">
        <f t="shared" ca="1" si="56"/>
        <v/>
      </c>
      <c r="AB508" s="137" t="str">
        <f t="shared" ca="1" si="52"/>
        <v/>
      </c>
      <c r="AC508" s="160" t="str">
        <f t="shared" ca="1" si="53"/>
        <v/>
      </c>
      <c r="AD508" s="159" t="str">
        <f t="shared" ca="1" si="54"/>
        <v/>
      </c>
      <c r="AE508" s="161"/>
      <c r="AF508" s="161"/>
      <c r="AG508" s="161"/>
      <c r="AH508" s="137"/>
      <c r="AI508" s="164" t="str">
        <f t="shared" si="57"/>
        <v/>
      </c>
      <c r="AJ508" s="164" t="str">
        <f>IF(AND(OpenPendingCases[[#This Row],[Sale Status	]]="Open Sale",OpenPendingCases[[#This Row],[Potential Same Month]]="High"),TEXT(OpenPendingCases[[#This Row],[Request Entry Date]], "[$-en-us]mmmm"),"")</f>
        <v/>
      </c>
      <c r="AK508" s="165" t="str">
        <f>IFERROR(VALUE(SUBSTITUTE(OpenPendingCases[[#This Row],[Price]]," AED","")),"")</f>
        <v/>
      </c>
      <c r="AL508" s="165" t="str">
        <f>IFERROR(VALUE(LEFT(OpenPendingCases[[#This Row],[Price]],FIND(" ",OpenPendingCases[[#This Row],[Price]])-1)),"")</f>
        <v/>
      </c>
      <c r="AM508" s="165" t="str">
        <f>IFERROR(VALUE(_xlfn.TEXTBEFORE(OpenPendingCases[[#This Row],[Price]]," AED")),"")</f>
        <v/>
      </c>
      <c r="AN508" s="165"/>
    </row>
    <row r="509" spans="3:40" ht="18" hidden="1" x14ac:dyDescent="0.35">
      <c r="C509" s="134"/>
      <c r="D509" s="137" t="str">
        <f>IF($U509="Open Sale", IF(MAX($D$4:D508)+1=0, "", MAX($D$4:D508)+1), "")</f>
        <v/>
      </c>
      <c r="E509" s="137" t="str">
        <f>IF($U509="Pending Allocation", IF(MAX($E$4:E508)+1=0, "", MAX($E$4:E508)+1), "")</f>
        <v/>
      </c>
      <c r="F509" s="137"/>
      <c r="G509" s="137"/>
      <c r="H509" s="150"/>
      <c r="I509" s="150"/>
      <c r="J509" s="68" t="str">
        <f>IF(OpenPendingCases[[#This Row],[Timepiece Reference ]]="", "", IF(_xlfn.XLOOKUP(OpenPendingCases[[#This Row],[Timepiece Reference ]], Table1[[Timepiece Reference ]], Table1[CRC STOCK], "Not Found")="YES", "CRC Stock", "Boutique Stock"))</f>
        <v/>
      </c>
      <c r="K509" s="137" t="str">
        <f>IF(OpenPendingCases[[#This Row],[Timepiece Reference ]]="", "", IF(_xlfn.XLOOKUP(OpenPendingCases[[#This Row],[Timepiece Reference ]], Table1[[Timepiece Reference ]], Table1[CRC STOCK], "Not Found")="YES", "CRC Stock", "Boutique Stock"))</f>
        <v/>
      </c>
      <c r="L509" s="143"/>
      <c r="M509" s="141"/>
      <c r="N509" s="137"/>
      <c r="O509" s="134"/>
      <c r="P509" s="94" t="str">
        <f>IFERROR(VLOOKUP(TRIM(O509), Collection!$B$2:$D$1001, 2, FALSE), "")</f>
        <v/>
      </c>
      <c r="Q509" s="190" t="str">
        <f>IFERROR(VLOOKUP(TRIM(O509), Collection!$B$2:$D$1001, 3, FALSE), "")</f>
        <v/>
      </c>
      <c r="R509" s="153" t="str">
        <f t="shared" si="51"/>
        <v/>
      </c>
      <c r="S509" s="151"/>
      <c r="T509" s="158"/>
      <c r="U509" s="137"/>
      <c r="V509" s="137"/>
      <c r="W509" s="156" t="str">
        <f t="shared" si="55"/>
        <v/>
      </c>
      <c r="X509" s="157"/>
      <c r="Y509" s="158"/>
      <c r="Z509" s="158"/>
      <c r="AA509" s="137" t="str">
        <f t="shared" ca="1" si="56"/>
        <v/>
      </c>
      <c r="AB509" s="137" t="str">
        <f t="shared" ca="1" si="52"/>
        <v/>
      </c>
      <c r="AC509" s="160" t="str">
        <f t="shared" ca="1" si="53"/>
        <v/>
      </c>
      <c r="AD509" s="159" t="str">
        <f t="shared" ca="1" si="54"/>
        <v/>
      </c>
      <c r="AE509" s="161"/>
      <c r="AF509" s="161"/>
      <c r="AG509" s="161"/>
      <c r="AH509" s="137"/>
      <c r="AI509" s="164" t="str">
        <f t="shared" si="57"/>
        <v/>
      </c>
      <c r="AJ509" s="164" t="str">
        <f>IF(AND(OpenPendingCases[[#This Row],[Sale Status	]]="Open Sale",OpenPendingCases[[#This Row],[Potential Same Month]]="High"),TEXT(OpenPendingCases[[#This Row],[Request Entry Date]], "[$-en-us]mmmm"),"")</f>
        <v/>
      </c>
      <c r="AK509" s="165" t="str">
        <f>IFERROR(VALUE(SUBSTITUTE(OpenPendingCases[[#This Row],[Price]]," AED","")),"")</f>
        <v/>
      </c>
      <c r="AL509" s="165" t="str">
        <f>IFERROR(VALUE(LEFT(OpenPendingCases[[#This Row],[Price]],FIND(" ",OpenPendingCases[[#This Row],[Price]])-1)),"")</f>
        <v/>
      </c>
      <c r="AM509" s="165" t="str">
        <f>IFERROR(VALUE(_xlfn.TEXTBEFORE(OpenPendingCases[[#This Row],[Price]]," AED")),"")</f>
        <v/>
      </c>
      <c r="AN509" s="165"/>
    </row>
    <row r="510" spans="3:40" ht="18" hidden="1" x14ac:dyDescent="0.35">
      <c r="C510" s="134"/>
      <c r="D510" s="137" t="str">
        <f>IF($U510="Open Sale", IF(MAX($D$4:D509)+1=0, "", MAX($D$4:D509)+1), "")</f>
        <v/>
      </c>
      <c r="E510" s="137" t="str">
        <f>IF($U510="Pending Allocation", IF(MAX($E$4:E509)+1=0, "", MAX($E$4:E509)+1), "")</f>
        <v/>
      </c>
      <c r="F510" s="137"/>
      <c r="G510" s="137"/>
      <c r="H510" s="150"/>
      <c r="I510" s="150"/>
      <c r="J510" s="68" t="str">
        <f>IF(OpenPendingCases[[#This Row],[Timepiece Reference ]]="", "", IF(_xlfn.XLOOKUP(OpenPendingCases[[#This Row],[Timepiece Reference ]], Table1[[Timepiece Reference ]], Table1[CRC STOCK], "Not Found")="YES", "CRC Stock", "Boutique Stock"))</f>
        <v/>
      </c>
      <c r="K510" s="137" t="str">
        <f>IF(OpenPendingCases[[#This Row],[Timepiece Reference ]]="", "", IF(_xlfn.XLOOKUP(OpenPendingCases[[#This Row],[Timepiece Reference ]], Table1[[Timepiece Reference ]], Table1[CRC STOCK], "Not Found")="YES", "CRC Stock", "Boutique Stock"))</f>
        <v/>
      </c>
      <c r="L510" s="143"/>
      <c r="M510" s="141"/>
      <c r="N510" s="137"/>
      <c r="O510" s="134"/>
      <c r="P510" s="94" t="str">
        <f>IFERROR(VLOOKUP(TRIM(O510), Collection!$B$2:$D$1001, 2, FALSE), "")</f>
        <v/>
      </c>
      <c r="Q510" s="190" t="str">
        <f>IFERROR(VLOOKUP(TRIM(O510), Collection!$B$2:$D$1001, 3, FALSE), "")</f>
        <v/>
      </c>
      <c r="R510" s="153" t="str">
        <f t="shared" si="51"/>
        <v/>
      </c>
      <c r="S510" s="151"/>
      <c r="T510" s="158"/>
      <c r="U510" s="137"/>
      <c r="V510" s="137"/>
      <c r="W510" s="156" t="str">
        <f t="shared" si="55"/>
        <v/>
      </c>
      <c r="X510" s="157"/>
      <c r="Y510" s="158"/>
      <c r="Z510" s="158"/>
      <c r="AA510" s="137" t="str">
        <f t="shared" ca="1" si="56"/>
        <v/>
      </c>
      <c r="AB510" s="137" t="str">
        <f t="shared" ca="1" si="52"/>
        <v/>
      </c>
      <c r="AC510" s="160" t="str">
        <f t="shared" ca="1" si="53"/>
        <v/>
      </c>
      <c r="AD510" s="159" t="str">
        <f t="shared" ca="1" si="54"/>
        <v/>
      </c>
      <c r="AE510" s="161"/>
      <c r="AF510" s="161"/>
      <c r="AG510" s="161"/>
      <c r="AH510" s="137"/>
      <c r="AI510" s="164" t="str">
        <f t="shared" si="57"/>
        <v/>
      </c>
      <c r="AJ510" s="164" t="str">
        <f>IF(AND(OpenPendingCases[[#This Row],[Sale Status	]]="Open Sale",OpenPendingCases[[#This Row],[Potential Same Month]]="High"),TEXT(OpenPendingCases[[#This Row],[Request Entry Date]], "[$-en-us]mmmm"),"")</f>
        <v/>
      </c>
      <c r="AK510" s="165" t="str">
        <f>IFERROR(VALUE(SUBSTITUTE(OpenPendingCases[[#This Row],[Price]]," AED","")),"")</f>
        <v/>
      </c>
      <c r="AL510" s="165" t="str">
        <f>IFERROR(VALUE(LEFT(OpenPendingCases[[#This Row],[Price]],FIND(" ",OpenPendingCases[[#This Row],[Price]])-1)),"")</f>
        <v/>
      </c>
      <c r="AM510" s="165" t="str">
        <f>IFERROR(VALUE(_xlfn.TEXTBEFORE(OpenPendingCases[[#This Row],[Price]]," AED")),"")</f>
        <v/>
      </c>
      <c r="AN510" s="165"/>
    </row>
    <row r="511" spans="3:40" ht="18" hidden="1" x14ac:dyDescent="0.35">
      <c r="C511" s="134"/>
      <c r="D511" s="137" t="str">
        <f>IF($U511="Open Sale", IF(MAX($D$4:D510)+1=0, "", MAX($D$4:D510)+1), "")</f>
        <v/>
      </c>
      <c r="E511" s="137" t="str">
        <f>IF($U511="Pending Allocation", IF(MAX($E$4:E510)+1=0, "", MAX($E$4:E510)+1), "")</f>
        <v/>
      </c>
      <c r="F511" s="137"/>
      <c r="G511" s="137"/>
      <c r="H511" s="150"/>
      <c r="I511" s="150"/>
      <c r="J511" s="68" t="str">
        <f>IF(OpenPendingCases[[#This Row],[Timepiece Reference ]]="", "", IF(_xlfn.XLOOKUP(OpenPendingCases[[#This Row],[Timepiece Reference ]], Table1[[Timepiece Reference ]], Table1[CRC STOCK], "Not Found")="YES", "CRC Stock", "Boutique Stock"))</f>
        <v/>
      </c>
      <c r="K511" s="137" t="str">
        <f>IF(OpenPendingCases[[#This Row],[Timepiece Reference ]]="", "", IF(_xlfn.XLOOKUP(OpenPendingCases[[#This Row],[Timepiece Reference ]], Table1[[Timepiece Reference ]], Table1[CRC STOCK], "Not Found")="YES", "CRC Stock", "Boutique Stock"))</f>
        <v/>
      </c>
      <c r="L511" s="143"/>
      <c r="M511" s="141"/>
      <c r="N511" s="137"/>
      <c r="O511" s="134"/>
      <c r="P511" s="94" t="str">
        <f>IFERROR(VLOOKUP(TRIM(O511), Collection!$B$2:$D$1001, 2, FALSE), "")</f>
        <v/>
      </c>
      <c r="Q511" s="190" t="str">
        <f>IFERROR(VLOOKUP(TRIM(O511), Collection!$B$2:$D$1001, 3, FALSE), "")</f>
        <v/>
      </c>
      <c r="R511" s="153" t="str">
        <f t="shared" si="51"/>
        <v/>
      </c>
      <c r="S511" s="151"/>
      <c r="T511" s="158"/>
      <c r="U511" s="137"/>
      <c r="V511" s="137"/>
      <c r="W511" s="156" t="str">
        <f t="shared" si="55"/>
        <v/>
      </c>
      <c r="X511" s="157"/>
      <c r="Y511" s="158"/>
      <c r="Z511" s="158"/>
      <c r="AA511" s="137" t="str">
        <f t="shared" ca="1" si="56"/>
        <v/>
      </c>
      <c r="AB511" s="137" t="str">
        <f t="shared" ca="1" si="52"/>
        <v/>
      </c>
      <c r="AC511" s="160" t="str">
        <f t="shared" ca="1" si="53"/>
        <v/>
      </c>
      <c r="AD511" s="159" t="str">
        <f t="shared" ca="1" si="54"/>
        <v/>
      </c>
      <c r="AE511" s="161"/>
      <c r="AF511" s="161"/>
      <c r="AG511" s="161"/>
      <c r="AH511" s="137"/>
      <c r="AI511" s="164" t="str">
        <f t="shared" si="57"/>
        <v/>
      </c>
      <c r="AJ511" s="164" t="str">
        <f>IF(AND(OpenPendingCases[[#This Row],[Sale Status	]]="Open Sale",OpenPendingCases[[#This Row],[Potential Same Month]]="High"),TEXT(OpenPendingCases[[#This Row],[Request Entry Date]], "[$-en-us]mmmm"),"")</f>
        <v/>
      </c>
      <c r="AK511" s="165" t="str">
        <f>IFERROR(VALUE(SUBSTITUTE(OpenPendingCases[[#This Row],[Price]]," AED","")),"")</f>
        <v/>
      </c>
      <c r="AL511" s="165" t="str">
        <f>IFERROR(VALUE(LEFT(OpenPendingCases[[#This Row],[Price]],FIND(" ",OpenPendingCases[[#This Row],[Price]])-1)),"")</f>
        <v/>
      </c>
      <c r="AM511" s="165" t="str">
        <f>IFERROR(VALUE(_xlfn.TEXTBEFORE(OpenPendingCases[[#This Row],[Price]]," AED")),"")</f>
        <v/>
      </c>
      <c r="AN511" s="165"/>
    </row>
    <row r="512" spans="3:40" ht="18" hidden="1" x14ac:dyDescent="0.35">
      <c r="C512" s="134"/>
      <c r="D512" s="137" t="str">
        <f>IF($U512="Open Sale", IF(MAX($D$4:D511)+1=0, "", MAX($D$4:D511)+1), "")</f>
        <v/>
      </c>
      <c r="E512" s="137" t="str">
        <f>IF($U512="Pending Allocation", IF(MAX($E$4:E511)+1=0, "", MAX($E$4:E511)+1), "")</f>
        <v/>
      </c>
      <c r="F512" s="137"/>
      <c r="G512" s="137"/>
      <c r="H512" s="150"/>
      <c r="I512" s="150"/>
      <c r="J512" s="68" t="str">
        <f>IF(OpenPendingCases[[#This Row],[Timepiece Reference ]]="", "", IF(_xlfn.XLOOKUP(OpenPendingCases[[#This Row],[Timepiece Reference ]], Table1[[Timepiece Reference ]], Table1[CRC STOCK], "Not Found")="YES", "CRC Stock", "Boutique Stock"))</f>
        <v/>
      </c>
      <c r="K512" s="137" t="str">
        <f>IF(OpenPendingCases[[#This Row],[Timepiece Reference ]]="", "", IF(_xlfn.XLOOKUP(OpenPendingCases[[#This Row],[Timepiece Reference ]], Table1[[Timepiece Reference ]], Table1[CRC STOCK], "Not Found")="YES", "CRC Stock", "Boutique Stock"))</f>
        <v/>
      </c>
      <c r="L512" s="143"/>
      <c r="M512" s="141"/>
      <c r="N512" s="137"/>
      <c r="O512" s="134"/>
      <c r="P512" s="94" t="str">
        <f>IFERROR(VLOOKUP(TRIM(O512), Collection!$B$2:$D$1001, 2, FALSE), "")</f>
        <v/>
      </c>
      <c r="Q512" s="190" t="str">
        <f>IFERROR(VLOOKUP(TRIM(O512), Collection!$B$2:$D$1001, 3, FALSE), "")</f>
        <v/>
      </c>
      <c r="R512" s="153" t="str">
        <f t="shared" si="51"/>
        <v/>
      </c>
      <c r="S512" s="151"/>
      <c r="T512" s="158"/>
      <c r="U512" s="137"/>
      <c r="V512" s="137"/>
      <c r="W512" s="156" t="str">
        <f t="shared" si="55"/>
        <v/>
      </c>
      <c r="X512" s="157"/>
      <c r="Y512" s="158"/>
      <c r="Z512" s="158"/>
      <c r="AA512" s="137" t="str">
        <f t="shared" ca="1" si="56"/>
        <v/>
      </c>
      <c r="AB512" s="137" t="str">
        <f t="shared" ca="1" si="52"/>
        <v/>
      </c>
      <c r="AC512" s="160" t="str">
        <f t="shared" ca="1" si="53"/>
        <v/>
      </c>
      <c r="AD512" s="159" t="str">
        <f t="shared" ca="1" si="54"/>
        <v/>
      </c>
      <c r="AE512" s="161"/>
      <c r="AF512" s="161"/>
      <c r="AG512" s="161"/>
      <c r="AH512" s="137"/>
      <c r="AI512" s="164" t="str">
        <f t="shared" si="57"/>
        <v/>
      </c>
      <c r="AJ512" s="164" t="str">
        <f>IF(AND(OpenPendingCases[[#This Row],[Sale Status	]]="Open Sale",OpenPendingCases[[#This Row],[Potential Same Month]]="High"),TEXT(OpenPendingCases[[#This Row],[Request Entry Date]], "[$-en-us]mmmm"),"")</f>
        <v/>
      </c>
      <c r="AK512" s="165" t="str">
        <f>IFERROR(VALUE(SUBSTITUTE(OpenPendingCases[[#This Row],[Price]]," AED","")),"")</f>
        <v/>
      </c>
      <c r="AL512" s="165" t="str">
        <f>IFERROR(VALUE(LEFT(OpenPendingCases[[#This Row],[Price]],FIND(" ",OpenPendingCases[[#This Row],[Price]])-1)),"")</f>
        <v/>
      </c>
      <c r="AM512" s="165" t="str">
        <f>IFERROR(VALUE(_xlfn.TEXTBEFORE(OpenPendingCases[[#This Row],[Price]]," AED")),"")</f>
        <v/>
      </c>
      <c r="AN512" s="165"/>
    </row>
    <row r="513" spans="3:40" ht="18" hidden="1" x14ac:dyDescent="0.35">
      <c r="C513" s="134"/>
      <c r="D513" s="137" t="str">
        <f>IF($U513="Open Sale", IF(MAX($D$4:D512)+1=0, "", MAX($D$4:D512)+1), "")</f>
        <v/>
      </c>
      <c r="E513" s="137" t="str">
        <f>IF($U513="Pending Allocation", IF(MAX($E$4:E512)+1=0, "", MAX($E$4:E512)+1), "")</f>
        <v/>
      </c>
      <c r="F513" s="137"/>
      <c r="G513" s="137"/>
      <c r="H513" s="150"/>
      <c r="I513" s="150"/>
      <c r="J513" s="68" t="str">
        <f>IF(OpenPendingCases[[#This Row],[Timepiece Reference ]]="", "", IF(_xlfn.XLOOKUP(OpenPendingCases[[#This Row],[Timepiece Reference ]], Table1[[Timepiece Reference ]], Table1[CRC STOCK], "Not Found")="YES", "CRC Stock", "Boutique Stock"))</f>
        <v/>
      </c>
      <c r="K513" s="137" t="str">
        <f>IF(OpenPendingCases[[#This Row],[Timepiece Reference ]]="", "", IF(_xlfn.XLOOKUP(OpenPendingCases[[#This Row],[Timepiece Reference ]], Table1[[Timepiece Reference ]], Table1[CRC STOCK], "Not Found")="YES", "CRC Stock", "Boutique Stock"))</f>
        <v/>
      </c>
      <c r="L513" s="143"/>
      <c r="M513" s="141"/>
      <c r="N513" s="137"/>
      <c r="O513" s="134"/>
      <c r="P513" s="94" t="str">
        <f>IFERROR(VLOOKUP(TRIM(O513), Collection!$B$2:$D$1001, 2, FALSE), "")</f>
        <v/>
      </c>
      <c r="Q513" s="190" t="str">
        <f>IFERROR(VLOOKUP(TRIM(O513), Collection!$B$2:$D$1001, 3, FALSE), "")</f>
        <v/>
      </c>
      <c r="R513" s="153" t="str">
        <f t="shared" si="51"/>
        <v/>
      </c>
      <c r="S513" s="151"/>
      <c r="T513" s="158"/>
      <c r="U513" s="137"/>
      <c r="V513" s="137"/>
      <c r="W513" s="156" t="str">
        <f t="shared" ref="W513:W515" si="58" xml:space="preserve"> IF(Z513 = "",
     "",
     TEXT(Z513, "mmmm"))</f>
        <v/>
      </c>
      <c r="X513" s="157"/>
      <c r="Y513" s="158"/>
      <c r="Z513" s="158"/>
      <c r="AA513" s="137" t="str">
        <f t="shared" ca="1" si="56"/>
        <v/>
      </c>
      <c r="AB513" s="137" t="str">
        <f t="shared" ca="1" si="52"/>
        <v/>
      </c>
      <c r="AC513" s="160" t="str">
        <f t="shared" ca="1" si="53"/>
        <v/>
      </c>
      <c r="AD513" s="159" t="str">
        <f t="shared" ca="1" si="54"/>
        <v/>
      </c>
      <c r="AE513" s="161"/>
      <c r="AF513" s="161"/>
      <c r="AG513" s="161"/>
      <c r="AH513" s="137"/>
      <c r="AI513" s="164" t="str">
        <f t="shared" si="57"/>
        <v/>
      </c>
      <c r="AJ513" s="164" t="str">
        <f>IF(AND(OpenPendingCases[[#This Row],[Sale Status	]]="Open Sale",OpenPendingCases[[#This Row],[Potential Same Month]]="High"),TEXT(OpenPendingCases[[#This Row],[Request Entry Date]], "[$-en-us]mmmm"),"")</f>
        <v/>
      </c>
      <c r="AK513" s="165" t="str">
        <f>IFERROR(VALUE(SUBSTITUTE(OpenPendingCases[[#This Row],[Price]]," AED","")),"")</f>
        <v/>
      </c>
      <c r="AL513" s="165" t="str">
        <f>IFERROR(VALUE(LEFT(OpenPendingCases[[#This Row],[Price]],FIND(" ",OpenPendingCases[[#This Row],[Price]])-1)),"")</f>
        <v/>
      </c>
      <c r="AM513" s="165" t="str">
        <f>IFERROR(VALUE(_xlfn.TEXTBEFORE(OpenPendingCases[[#This Row],[Price]]," AED")),"")</f>
        <v/>
      </c>
      <c r="AN513" s="165"/>
    </row>
    <row r="514" spans="3:40" ht="18" hidden="1" x14ac:dyDescent="0.35">
      <c r="C514" s="134"/>
      <c r="D514" s="137" t="str">
        <f>IF($U514="Open Sale", IF(MAX($D$4:D513)+1=0, "", MAX($D$4:D513)+1), "")</f>
        <v/>
      </c>
      <c r="E514" s="137" t="str">
        <f>IF($U514="Pending Allocation", IF(MAX($E$4:E513)+1=0, "", MAX($E$4:E513)+1), "")</f>
        <v/>
      </c>
      <c r="F514" s="137"/>
      <c r="G514" s="137"/>
      <c r="H514" s="150"/>
      <c r="I514" s="150"/>
      <c r="J514" s="68" t="str">
        <f>IF(OpenPendingCases[[#This Row],[Timepiece Reference ]]="", "", IF(_xlfn.XLOOKUP(OpenPendingCases[[#This Row],[Timepiece Reference ]], Table1[[Timepiece Reference ]], Table1[CRC STOCK], "Not Found")="YES", "CRC Stock", "Boutique Stock"))</f>
        <v/>
      </c>
      <c r="K514" s="137" t="str">
        <f>IF(OpenPendingCases[[#This Row],[Timepiece Reference ]]="", "", IF(_xlfn.XLOOKUP(OpenPendingCases[[#This Row],[Timepiece Reference ]], Table1[[Timepiece Reference ]], Table1[CRC STOCK], "Not Found")="YES", "CRC Stock", "Boutique Stock"))</f>
        <v/>
      </c>
      <c r="L514" s="143"/>
      <c r="M514" s="141"/>
      <c r="N514" s="137"/>
      <c r="O514" s="134"/>
      <c r="P514" s="94" t="str">
        <f>IFERROR(VLOOKUP(TRIM(O514), Collection!$B$2:$D$1001, 2, FALSE), "")</f>
        <v/>
      </c>
      <c r="Q514" s="190" t="str">
        <f>IFERROR(VLOOKUP(TRIM(O514), Collection!$B$2:$D$1001, 3, FALSE), "")</f>
        <v/>
      </c>
      <c r="R514" s="153" t="str">
        <f t="shared" si="51"/>
        <v/>
      </c>
      <c r="S514" s="151"/>
      <c r="T514" s="158"/>
      <c r="U514" s="137"/>
      <c r="V514" s="137"/>
      <c r="W514" s="156" t="str">
        <f t="shared" si="58"/>
        <v/>
      </c>
      <c r="X514" s="157"/>
      <c r="Y514" s="158"/>
      <c r="Z514" s="158"/>
      <c r="AA514" s="137" t="str">
        <f t="shared" ca="1" si="56"/>
        <v/>
      </c>
      <c r="AB514" s="137" t="str">
        <f t="shared" ca="1" si="52"/>
        <v/>
      </c>
      <c r="AC514" s="160" t="str">
        <f t="shared" ca="1" si="53"/>
        <v/>
      </c>
      <c r="AD514" s="159" t="str">
        <f t="shared" ca="1" si="54"/>
        <v/>
      </c>
      <c r="AE514" s="161"/>
      <c r="AF514" s="161"/>
      <c r="AG514" s="161"/>
      <c r="AH514" s="137"/>
      <c r="AI514" s="164" t="str">
        <f t="shared" si="57"/>
        <v/>
      </c>
      <c r="AJ514" s="164" t="str">
        <f>IF(AND(OpenPendingCases[[#This Row],[Sale Status	]]="Open Sale",OpenPendingCases[[#This Row],[Potential Same Month]]="High"),TEXT(OpenPendingCases[[#This Row],[Request Entry Date]], "[$-en-us]mmmm"),"")</f>
        <v/>
      </c>
      <c r="AK514" s="165" t="str">
        <f>IFERROR(VALUE(SUBSTITUTE(OpenPendingCases[[#This Row],[Price]]," AED","")),"")</f>
        <v/>
      </c>
      <c r="AL514" s="165" t="str">
        <f>IFERROR(VALUE(LEFT(OpenPendingCases[[#This Row],[Price]],FIND(" ",OpenPendingCases[[#This Row],[Price]])-1)),"")</f>
        <v/>
      </c>
      <c r="AM514" s="165" t="str">
        <f>IFERROR(VALUE(_xlfn.TEXTBEFORE(OpenPendingCases[[#This Row],[Price]]," AED")),"")</f>
        <v/>
      </c>
      <c r="AN514" s="165"/>
    </row>
    <row r="515" spans="3:40" ht="18" hidden="1" x14ac:dyDescent="0.35">
      <c r="C515" s="134"/>
      <c r="D515" s="137" t="str">
        <f>IF($U515="Open Sale", IF(MAX($D$4:D514)+1=0, "", MAX($D$4:D514)+1), "")</f>
        <v/>
      </c>
      <c r="E515" s="137" t="str">
        <f>IF($U515="Pending Allocation", IF(MAX($E$4:E514)+1=0, "", MAX($E$4:E514)+1), "")</f>
        <v/>
      </c>
      <c r="F515" s="137"/>
      <c r="G515" s="137"/>
      <c r="H515" s="150"/>
      <c r="I515" s="150"/>
      <c r="J515" s="68" t="str">
        <f>IF(OpenPendingCases[[#This Row],[Timepiece Reference ]]="", "", IF(_xlfn.XLOOKUP(OpenPendingCases[[#This Row],[Timepiece Reference ]], Table1[[Timepiece Reference ]], Table1[CRC STOCK], "Not Found")="YES", "CRC Stock", "Boutique Stock"))</f>
        <v/>
      </c>
      <c r="K515" s="137" t="str">
        <f>IF(OpenPendingCases[[#This Row],[Timepiece Reference ]]="", "", IF(_xlfn.XLOOKUP(OpenPendingCases[[#This Row],[Timepiece Reference ]], Table1[[Timepiece Reference ]], Table1[CRC STOCK], "Not Found")="YES", "CRC Stock", "Boutique Stock"))</f>
        <v/>
      </c>
      <c r="L515" s="143"/>
      <c r="M515" s="141"/>
      <c r="N515" s="137"/>
      <c r="O515" s="134"/>
      <c r="P515" s="94" t="str">
        <f>IFERROR(VLOOKUP(TRIM(O515), Collection!$B$2:$D$1001, 2, FALSE), "")</f>
        <v/>
      </c>
      <c r="Q515" s="190" t="str">
        <f>IFERROR(VLOOKUP(TRIM(O515), Collection!$B$2:$D$1001, 3, FALSE), "")</f>
        <v/>
      </c>
      <c r="R515" s="153" t="str">
        <f t="shared" ref="R515:R539" si="59">IFERROR(VALUE(SUBSTITUTE(SUBSTITUTE(Q515, "Price", ""), "AED", "")), "")</f>
        <v/>
      </c>
      <c r="S515" s="151"/>
      <c r="T515" s="158"/>
      <c r="U515" s="137"/>
      <c r="V515" s="137"/>
      <c r="W515" s="156" t="str">
        <f t="shared" si="58"/>
        <v/>
      </c>
      <c r="X515" s="157"/>
      <c r="Y515" s="158"/>
      <c r="Z515" s="158"/>
      <c r="AA515" s="137" t="str">
        <f t="shared" ca="1" si="56"/>
        <v/>
      </c>
      <c r="AB515" s="137" t="str">
        <f t="shared" ref="AB515:AB539" ca="1" si="60">IF(H515="", "", IF(OR(U515="Pending", U515="Pending Allocation"), CONCATENATE(TODAY()-H515, " Days"), IF(U515="Closed", "", "")))</f>
        <v/>
      </c>
      <c r="AC515" s="160" t="str">
        <f t="shared" ref="AC515:AC539" ca="1" si="61">IF(U515="Pending Allocation", IF(I515="", "", TODAY()-I515), "")</f>
        <v/>
      </c>
      <c r="AD515" s="159" t="str">
        <f t="shared" ref="AD515:AD539" ca="1" si="62">IF(U515="Open Sale", TEXT(TODAY()-I515, "0"),
   IF(U515="Pending", "",
      IF(U515="Closed Sale", "", "")))</f>
        <v/>
      </c>
      <c r="AE515" s="161"/>
      <c r="AF515" s="161"/>
      <c r="AG515" s="161"/>
      <c r="AH515" s="137"/>
      <c r="AI515" s="164" t="str">
        <f t="shared" si="57"/>
        <v/>
      </c>
      <c r="AJ515" s="164" t="str">
        <f>IF(AND(OpenPendingCases[[#This Row],[Sale Status	]]="Open Sale",OpenPendingCases[[#This Row],[Potential Same Month]]="High"),TEXT(OpenPendingCases[[#This Row],[Request Entry Date]], "[$-en-us]mmmm"),"")</f>
        <v/>
      </c>
      <c r="AK515" s="165" t="str">
        <f>IFERROR(VALUE(SUBSTITUTE(OpenPendingCases[[#This Row],[Price]]," AED","")),"")</f>
        <v/>
      </c>
      <c r="AL515" s="165" t="str">
        <f>IFERROR(VALUE(LEFT(OpenPendingCases[[#This Row],[Price]],FIND(" ",OpenPendingCases[[#This Row],[Price]])-1)),"")</f>
        <v/>
      </c>
      <c r="AM515" s="165" t="str">
        <f>IFERROR(VALUE(_xlfn.TEXTBEFORE(OpenPendingCases[[#This Row],[Price]]," AED")),"")</f>
        <v/>
      </c>
      <c r="AN515" s="165"/>
    </row>
    <row r="516" spans="3:40" ht="18" hidden="1" x14ac:dyDescent="0.35">
      <c r="C516" s="134"/>
      <c r="D516" s="137" t="str">
        <f>IF($U516="Open Sale", IF(MAX($D$4:D515)+1=0, "", MAX($D$4:D515)+1), "")</f>
        <v/>
      </c>
      <c r="E516" s="137" t="str">
        <f>IF($U516="Pending Allocation", IF(MAX($E$4:E515)+1=0, "", MAX($E$4:E515)+1), "")</f>
        <v/>
      </c>
      <c r="F516" s="137"/>
      <c r="G516" s="137"/>
      <c r="H516" s="150"/>
      <c r="I516" s="150"/>
      <c r="J516" s="68" t="str">
        <f>IF(OpenPendingCases[[#This Row],[Timepiece Reference ]]="", "", IF(_xlfn.XLOOKUP(OpenPendingCases[[#This Row],[Timepiece Reference ]], Table1[[Timepiece Reference ]], Table1[CRC STOCK], "Not Found")="YES", "CRC Stock", "Boutique Stock"))</f>
        <v/>
      </c>
      <c r="K516" s="137" t="str">
        <f>IF(OpenPendingCases[[#This Row],[Timepiece Reference ]]="", "", IF(_xlfn.XLOOKUP(OpenPendingCases[[#This Row],[Timepiece Reference ]], Table1[[Timepiece Reference ]], Table1[CRC STOCK], "Not Found")="YES", "CRC Stock", "Boutique Stock"))</f>
        <v/>
      </c>
      <c r="L516" s="143"/>
      <c r="M516" s="141"/>
      <c r="N516" s="137"/>
      <c r="O516" s="134"/>
      <c r="P516" s="94" t="str">
        <f>IFERROR(VLOOKUP(TRIM(O516), Collection!$B$2:$D$1001, 2, FALSE), "")</f>
        <v/>
      </c>
      <c r="Q516" s="190" t="str">
        <f>IFERROR(VLOOKUP(TRIM(O516), Collection!$B$2:$D$1001, 3, FALSE), "")</f>
        <v/>
      </c>
      <c r="R516" s="153" t="str">
        <f t="shared" si="59"/>
        <v/>
      </c>
      <c r="S516" s="151"/>
      <c r="T516" s="158"/>
      <c r="U516" s="137"/>
      <c r="V516" s="137"/>
      <c r="W516" s="156" t="str">
        <f t="shared" ref="W516:W520" si="63" xml:space="preserve"> IF(Z516 = "",
     "",
     TEXT(Z516, "mmmm"))</f>
        <v/>
      </c>
      <c r="X516" s="157"/>
      <c r="Y516" s="158"/>
      <c r="Z516" s="158"/>
      <c r="AA516" s="137" t="str">
        <f t="shared" ref="AA516:AA539" ca="1" si="64">IF(H516="", "", IF(U516="Open Sale", IF(TODAY()-H516=0, "0 Days", TEXT(TODAY()-H516, "0") &amp; " Days"), IF(U516="Closed Sale", AA516, "")))</f>
        <v/>
      </c>
      <c r="AB516" s="137" t="str">
        <f t="shared" ca="1" si="60"/>
        <v/>
      </c>
      <c r="AC516" s="160" t="str">
        <f t="shared" ca="1" si="61"/>
        <v/>
      </c>
      <c r="AD516" s="159" t="str">
        <f t="shared" ca="1" si="62"/>
        <v/>
      </c>
      <c r="AE516" s="161"/>
      <c r="AF516" s="161"/>
      <c r="AG516" s="161"/>
      <c r="AH516" s="137"/>
      <c r="AI516" s="164" t="str">
        <f t="shared" si="57"/>
        <v/>
      </c>
      <c r="AJ516" s="164" t="str">
        <f>IF(AND(OpenPendingCases[[#This Row],[Sale Status	]]="Open Sale",OpenPendingCases[[#This Row],[Potential Same Month]]="High"),TEXT(OpenPendingCases[[#This Row],[Request Entry Date]], "[$-en-us]mmmm"),"")</f>
        <v/>
      </c>
      <c r="AK516" s="165" t="str">
        <f>IFERROR(VALUE(SUBSTITUTE(OpenPendingCases[[#This Row],[Price]]," AED","")),"")</f>
        <v/>
      </c>
      <c r="AL516" s="165" t="str">
        <f>IFERROR(VALUE(LEFT(OpenPendingCases[[#This Row],[Price]],FIND(" ",OpenPendingCases[[#This Row],[Price]])-1)),"")</f>
        <v/>
      </c>
      <c r="AM516" s="165" t="str">
        <f>IFERROR(VALUE(_xlfn.TEXTBEFORE(OpenPendingCases[[#This Row],[Price]]," AED")),"")</f>
        <v/>
      </c>
      <c r="AN516" s="165"/>
    </row>
    <row r="517" spans="3:40" ht="18" hidden="1" x14ac:dyDescent="0.35">
      <c r="C517" s="134"/>
      <c r="D517" s="137" t="str">
        <f>IF($U517="Open Sale", IF(MAX($D$4:D516)+1=0, "", MAX($D$4:D516)+1), "")</f>
        <v/>
      </c>
      <c r="E517" s="137" t="str">
        <f>IF($U517="Pending Allocation", IF(MAX($E$4:E516)+1=0, "", MAX($E$4:E516)+1), "")</f>
        <v/>
      </c>
      <c r="F517" s="137"/>
      <c r="G517" s="137"/>
      <c r="H517" s="150"/>
      <c r="I517" s="150"/>
      <c r="J517" s="68" t="str">
        <f>IF(OpenPendingCases[[#This Row],[Timepiece Reference ]]="", "", IF(_xlfn.XLOOKUP(OpenPendingCases[[#This Row],[Timepiece Reference ]], Table1[[Timepiece Reference ]], Table1[CRC STOCK], "Not Found")="YES", "CRC Stock", "Boutique Stock"))</f>
        <v/>
      </c>
      <c r="K517" s="137" t="str">
        <f>IF(OpenPendingCases[[#This Row],[Timepiece Reference ]]="", "", IF(_xlfn.XLOOKUP(OpenPendingCases[[#This Row],[Timepiece Reference ]], Table1[[Timepiece Reference ]], Table1[CRC STOCK], "Not Found")="YES", "CRC Stock", "Boutique Stock"))</f>
        <v/>
      </c>
      <c r="L517" s="143"/>
      <c r="M517" s="141"/>
      <c r="N517" s="137"/>
      <c r="O517" s="134"/>
      <c r="P517" s="94" t="str">
        <f>IFERROR(VLOOKUP(TRIM(O517), Collection!$B$2:$D$1001, 2, FALSE), "")</f>
        <v/>
      </c>
      <c r="Q517" s="190" t="str">
        <f>IFERROR(VLOOKUP(TRIM(O517), Collection!$B$2:$D$1001, 3, FALSE), "")</f>
        <v/>
      </c>
      <c r="R517" s="153" t="str">
        <f t="shared" si="59"/>
        <v/>
      </c>
      <c r="S517" s="151"/>
      <c r="T517" s="158"/>
      <c r="U517" s="137"/>
      <c r="V517" s="137"/>
      <c r="W517" s="156" t="str">
        <f t="shared" si="63"/>
        <v/>
      </c>
      <c r="X517" s="157"/>
      <c r="Y517" s="158"/>
      <c r="Z517" s="158"/>
      <c r="AA517" s="137" t="str">
        <f t="shared" ca="1" si="64"/>
        <v/>
      </c>
      <c r="AB517" s="137" t="str">
        <f t="shared" ca="1" si="60"/>
        <v/>
      </c>
      <c r="AC517" s="160" t="str">
        <f t="shared" ca="1" si="61"/>
        <v/>
      </c>
      <c r="AD517" s="159" t="str">
        <f t="shared" ca="1" si="62"/>
        <v/>
      </c>
      <c r="AE517" s="161"/>
      <c r="AF517" s="161"/>
      <c r="AG517" s="161"/>
      <c r="AH517" s="137"/>
      <c r="AI517" s="164" t="str">
        <f t="shared" si="57"/>
        <v/>
      </c>
      <c r="AJ517" s="164" t="str">
        <f>IF(AND(OpenPendingCases[[#This Row],[Sale Status	]]="Open Sale",OpenPendingCases[[#This Row],[Potential Same Month]]="High"),TEXT(OpenPendingCases[[#This Row],[Request Entry Date]], "[$-en-us]mmmm"),"")</f>
        <v/>
      </c>
      <c r="AK517" s="165" t="str">
        <f>IFERROR(VALUE(SUBSTITUTE(OpenPendingCases[[#This Row],[Price]]," AED","")),"")</f>
        <v/>
      </c>
      <c r="AL517" s="165" t="str">
        <f>IFERROR(VALUE(LEFT(OpenPendingCases[[#This Row],[Price]],FIND(" ",OpenPendingCases[[#This Row],[Price]])-1)),"")</f>
        <v/>
      </c>
      <c r="AM517" s="165" t="str">
        <f>IFERROR(VALUE(_xlfn.TEXTBEFORE(OpenPendingCases[[#This Row],[Price]]," AED")),"")</f>
        <v/>
      </c>
      <c r="AN517" s="165"/>
    </row>
    <row r="518" spans="3:40" ht="18" hidden="1" x14ac:dyDescent="0.35">
      <c r="C518" s="134"/>
      <c r="D518" s="137" t="str">
        <f>IF($U518="Open Sale", IF(MAX($D$4:D517)+1=0, "", MAX($D$4:D517)+1), "")</f>
        <v/>
      </c>
      <c r="E518" s="137" t="str">
        <f>IF($U518="Pending Allocation", IF(MAX($E$4:E517)+1=0, "", MAX($E$4:E517)+1), "")</f>
        <v/>
      </c>
      <c r="F518" s="137"/>
      <c r="G518" s="137"/>
      <c r="H518" s="150"/>
      <c r="I518" s="150"/>
      <c r="J518" s="68" t="str">
        <f>IF(OpenPendingCases[[#This Row],[Timepiece Reference ]]="", "", IF(_xlfn.XLOOKUP(OpenPendingCases[[#This Row],[Timepiece Reference ]], Table1[[Timepiece Reference ]], Table1[CRC STOCK], "Not Found")="YES", "CRC Stock", "Boutique Stock"))</f>
        <v/>
      </c>
      <c r="K518" s="137" t="str">
        <f>IF(OpenPendingCases[[#This Row],[Timepiece Reference ]]="", "", IF(_xlfn.XLOOKUP(OpenPendingCases[[#This Row],[Timepiece Reference ]], Table1[[Timepiece Reference ]], Table1[CRC STOCK], "Not Found")="YES", "CRC Stock", "Boutique Stock"))</f>
        <v/>
      </c>
      <c r="L518" s="143"/>
      <c r="M518" s="141"/>
      <c r="N518" s="137"/>
      <c r="O518" s="134"/>
      <c r="P518" s="94" t="str">
        <f>IFERROR(VLOOKUP(TRIM(O518), Collection!$B$2:$D$1001, 2, FALSE), "")</f>
        <v/>
      </c>
      <c r="Q518" s="190" t="str">
        <f>IFERROR(VLOOKUP(TRIM(O518), Collection!$B$2:$D$1001, 3, FALSE), "")</f>
        <v/>
      </c>
      <c r="R518" s="153" t="str">
        <f t="shared" si="59"/>
        <v/>
      </c>
      <c r="S518" s="151"/>
      <c r="T518" s="158"/>
      <c r="U518" s="137"/>
      <c r="V518" s="137"/>
      <c r="W518" s="156" t="str">
        <f t="shared" si="63"/>
        <v/>
      </c>
      <c r="X518" s="157"/>
      <c r="Y518" s="158"/>
      <c r="Z518" s="158"/>
      <c r="AA518" s="137" t="str">
        <f t="shared" ca="1" si="64"/>
        <v/>
      </c>
      <c r="AB518" s="137" t="str">
        <f t="shared" ca="1" si="60"/>
        <v/>
      </c>
      <c r="AC518" s="160" t="str">
        <f t="shared" ca="1" si="61"/>
        <v/>
      </c>
      <c r="AD518" s="159" t="str">
        <f t="shared" ca="1" si="62"/>
        <v/>
      </c>
      <c r="AE518" s="161"/>
      <c r="AF518" s="161"/>
      <c r="AG518" s="161"/>
      <c r="AH518" s="137"/>
      <c r="AI518" s="164" t="str">
        <f t="shared" si="57"/>
        <v/>
      </c>
      <c r="AJ518" s="164" t="str">
        <f>IF(AND(OpenPendingCases[[#This Row],[Sale Status	]]="Open Sale",OpenPendingCases[[#This Row],[Potential Same Month]]="High"),TEXT(OpenPendingCases[[#This Row],[Request Entry Date]], "[$-en-us]mmmm"),"")</f>
        <v/>
      </c>
      <c r="AK518" s="165" t="str">
        <f>IFERROR(VALUE(SUBSTITUTE(OpenPendingCases[[#This Row],[Price]]," AED","")),"")</f>
        <v/>
      </c>
      <c r="AL518" s="165" t="str">
        <f>IFERROR(VALUE(LEFT(OpenPendingCases[[#This Row],[Price]],FIND(" ",OpenPendingCases[[#This Row],[Price]])-1)),"")</f>
        <v/>
      </c>
      <c r="AM518" s="165" t="str">
        <f>IFERROR(VALUE(_xlfn.TEXTBEFORE(OpenPendingCases[[#This Row],[Price]]," AED")),"")</f>
        <v/>
      </c>
      <c r="AN518" s="165"/>
    </row>
    <row r="519" spans="3:40" ht="18" hidden="1" x14ac:dyDescent="0.35">
      <c r="C519" s="134"/>
      <c r="D519" s="137" t="str">
        <f>IF($U519="Open Sale", IF(MAX($D$4:D518)+1=0, "", MAX($D$4:D518)+1), "")</f>
        <v/>
      </c>
      <c r="E519" s="137" t="str">
        <f>IF($U519="Pending Allocation", IF(MAX($E$4:E518)+1=0, "", MAX($E$4:E518)+1), "")</f>
        <v/>
      </c>
      <c r="F519" s="137"/>
      <c r="G519" s="137"/>
      <c r="H519" s="150"/>
      <c r="I519" s="150"/>
      <c r="J519" s="68" t="str">
        <f>IF(OpenPendingCases[[#This Row],[Timepiece Reference ]]="", "", IF(_xlfn.XLOOKUP(OpenPendingCases[[#This Row],[Timepiece Reference ]], Table1[[Timepiece Reference ]], Table1[CRC STOCK], "Not Found")="YES", "CRC Stock", "Boutique Stock"))</f>
        <v/>
      </c>
      <c r="K519" s="137" t="str">
        <f>IF(OpenPendingCases[[#This Row],[Timepiece Reference ]]="", "", IF(_xlfn.XLOOKUP(OpenPendingCases[[#This Row],[Timepiece Reference ]], Table1[[Timepiece Reference ]], Table1[CRC STOCK], "Not Found")="YES", "CRC Stock", "Boutique Stock"))</f>
        <v/>
      </c>
      <c r="L519" s="143"/>
      <c r="M519" s="141"/>
      <c r="N519" s="137"/>
      <c r="O519" s="134"/>
      <c r="P519" s="94" t="str">
        <f>IFERROR(VLOOKUP(TRIM(O519), Collection!$B$2:$D$1001, 2, FALSE), "")</f>
        <v/>
      </c>
      <c r="Q519" s="190" t="str">
        <f>IFERROR(VLOOKUP(TRIM(O519), Collection!$B$2:$D$1001, 3, FALSE), "")</f>
        <v/>
      </c>
      <c r="R519" s="153" t="str">
        <f t="shared" si="59"/>
        <v/>
      </c>
      <c r="S519" s="151"/>
      <c r="T519" s="158"/>
      <c r="U519" s="137"/>
      <c r="V519" s="137"/>
      <c r="W519" s="156" t="str">
        <f t="shared" si="63"/>
        <v/>
      </c>
      <c r="X519" s="157"/>
      <c r="Y519" s="158"/>
      <c r="Z519" s="158"/>
      <c r="AA519" s="137" t="str">
        <f t="shared" ca="1" si="64"/>
        <v/>
      </c>
      <c r="AB519" s="137" t="str">
        <f t="shared" ca="1" si="60"/>
        <v/>
      </c>
      <c r="AC519" s="160" t="str">
        <f t="shared" ca="1" si="61"/>
        <v/>
      </c>
      <c r="AD519" s="159" t="str">
        <f t="shared" ca="1" si="62"/>
        <v/>
      </c>
      <c r="AE519" s="161"/>
      <c r="AF519" s="161"/>
      <c r="AG519" s="161"/>
      <c r="AH519" s="137"/>
      <c r="AI519" s="164" t="str">
        <f t="shared" si="57"/>
        <v/>
      </c>
      <c r="AJ519" s="164" t="str">
        <f>IF(AND(OpenPendingCases[[#This Row],[Sale Status	]]="Open Sale",OpenPendingCases[[#This Row],[Potential Same Month]]="High"),TEXT(OpenPendingCases[[#This Row],[Request Entry Date]], "[$-en-us]mmmm"),"")</f>
        <v/>
      </c>
      <c r="AK519" s="165" t="str">
        <f>IFERROR(VALUE(SUBSTITUTE(OpenPendingCases[[#This Row],[Price]]," AED","")),"")</f>
        <v/>
      </c>
      <c r="AL519" s="165" t="str">
        <f>IFERROR(VALUE(LEFT(OpenPendingCases[[#This Row],[Price]],FIND(" ",OpenPendingCases[[#This Row],[Price]])-1)),"")</f>
        <v/>
      </c>
      <c r="AM519" s="165" t="str">
        <f>IFERROR(VALUE(_xlfn.TEXTBEFORE(OpenPendingCases[[#This Row],[Price]]," AED")),"")</f>
        <v/>
      </c>
      <c r="AN519" s="165"/>
    </row>
    <row r="520" spans="3:40" ht="18" hidden="1" x14ac:dyDescent="0.35">
      <c r="C520" s="134"/>
      <c r="D520" s="137" t="str">
        <f>IF($U520="Open Sale", IF(MAX($D$4:D519)+1=0, "", MAX($D$4:D519)+1), "")</f>
        <v/>
      </c>
      <c r="E520" s="137" t="str">
        <f>IF($U520="Pending Allocation", IF(MAX($E$4:E519)+1=0, "", MAX($E$4:E519)+1), "")</f>
        <v/>
      </c>
      <c r="F520" s="137"/>
      <c r="G520" s="137"/>
      <c r="H520" s="150"/>
      <c r="I520" s="150"/>
      <c r="J520" s="68" t="str">
        <f>IF(OpenPendingCases[[#This Row],[Timepiece Reference ]]="", "", IF(_xlfn.XLOOKUP(OpenPendingCases[[#This Row],[Timepiece Reference ]], Table1[[Timepiece Reference ]], Table1[CRC STOCK], "Not Found")="YES", "CRC Stock", "Boutique Stock"))</f>
        <v/>
      </c>
      <c r="K520" s="137" t="str">
        <f>IF(OpenPendingCases[[#This Row],[Timepiece Reference ]]="", "", IF(_xlfn.XLOOKUP(OpenPendingCases[[#This Row],[Timepiece Reference ]], Table1[[Timepiece Reference ]], Table1[CRC STOCK], "Not Found")="YES", "CRC Stock", "Boutique Stock"))</f>
        <v/>
      </c>
      <c r="L520" s="143"/>
      <c r="M520" s="141"/>
      <c r="N520" s="137"/>
      <c r="O520" s="134"/>
      <c r="P520" s="94" t="str">
        <f>IFERROR(VLOOKUP(TRIM(O520), Collection!$B$2:$D$1001, 2, FALSE), "")</f>
        <v/>
      </c>
      <c r="Q520" s="190" t="str">
        <f>IFERROR(VLOOKUP(TRIM(O520), Collection!$B$2:$D$1001, 3, FALSE), "")</f>
        <v/>
      </c>
      <c r="R520" s="153" t="str">
        <f t="shared" si="59"/>
        <v/>
      </c>
      <c r="S520" s="168"/>
      <c r="T520" s="183"/>
      <c r="U520" s="137"/>
      <c r="V520" s="137"/>
      <c r="W520" s="156" t="str">
        <f t="shared" si="63"/>
        <v/>
      </c>
      <c r="X520" s="157"/>
      <c r="Y520" s="158"/>
      <c r="Z520" s="158"/>
      <c r="AA520" s="137" t="str">
        <f t="shared" ca="1" si="64"/>
        <v/>
      </c>
      <c r="AB520" s="137" t="str">
        <f t="shared" ca="1" si="60"/>
        <v/>
      </c>
      <c r="AC520" s="160" t="str">
        <f t="shared" ca="1" si="61"/>
        <v/>
      </c>
      <c r="AD520" s="159" t="str">
        <f t="shared" ca="1" si="62"/>
        <v/>
      </c>
      <c r="AE520" s="161"/>
      <c r="AF520" s="161"/>
      <c r="AG520" s="161"/>
      <c r="AH520" s="137"/>
      <c r="AI520" s="164" t="str">
        <f t="shared" si="57"/>
        <v/>
      </c>
      <c r="AJ520" s="164" t="str">
        <f>IF(AND(OpenPendingCases[[#This Row],[Sale Status	]]="Open Sale",OpenPendingCases[[#This Row],[Potential Same Month]]="High"),TEXT(OpenPendingCases[[#This Row],[Request Entry Date]], "[$-en-us]mmmm"),"")</f>
        <v/>
      </c>
      <c r="AK520" s="165" t="str">
        <f>IFERROR(VALUE(SUBSTITUTE(OpenPendingCases[[#This Row],[Price]]," AED","")),"")</f>
        <v/>
      </c>
      <c r="AL520" s="165" t="str">
        <f>IFERROR(VALUE(LEFT(OpenPendingCases[[#This Row],[Price]],FIND(" ",OpenPendingCases[[#This Row],[Price]])-1)),"")</f>
        <v/>
      </c>
      <c r="AM520" s="165" t="str">
        <f>IFERROR(VALUE(_xlfn.TEXTBEFORE(OpenPendingCases[[#This Row],[Price]]," AED")),"")</f>
        <v/>
      </c>
      <c r="AN520" s="165"/>
    </row>
    <row r="521" spans="3:40" ht="18" hidden="1" x14ac:dyDescent="0.35">
      <c r="C521" s="134"/>
      <c r="D521" s="137" t="str">
        <f>IF($U521="Open Sale", IF(MAX($D$4:D520)+1=0, "", MAX($D$4:D520)+1), "")</f>
        <v/>
      </c>
      <c r="E521" s="137" t="str">
        <f>IF($U521="Pending Allocation", IF(MAX($E$4:E520)+1=0, "", MAX($E$4:E520)+1), "")</f>
        <v/>
      </c>
      <c r="F521" s="137"/>
      <c r="G521" s="137"/>
      <c r="H521" s="150"/>
      <c r="I521" s="150"/>
      <c r="J521" s="68" t="str">
        <f>IF(OpenPendingCases[[#This Row],[Timepiece Reference ]]="", "", IF(_xlfn.XLOOKUP(OpenPendingCases[[#This Row],[Timepiece Reference ]], Table1[[Timepiece Reference ]], Table1[CRC STOCK], "Not Found")="YES", "CRC Stock", "Boutique Stock"))</f>
        <v/>
      </c>
      <c r="K521" s="137" t="str">
        <f>IF(OpenPendingCases[[#This Row],[Timepiece Reference ]]="", "", IF(_xlfn.XLOOKUP(OpenPendingCases[[#This Row],[Timepiece Reference ]], Table1[[Timepiece Reference ]], Table1[CRC STOCK], "Not Found")="YES", "CRC Stock", "Boutique Stock"))</f>
        <v/>
      </c>
      <c r="L521" s="143"/>
      <c r="M521" s="141"/>
      <c r="N521" s="137"/>
      <c r="O521" s="134"/>
      <c r="P521" s="94" t="str">
        <f>IFERROR(VLOOKUP(TRIM(O521), Collection!$B$2:$D$1001, 2, FALSE), "")</f>
        <v/>
      </c>
      <c r="Q521" s="190" t="str">
        <f>IFERROR(VLOOKUP(TRIM(O521), Collection!$B$2:$D$1001, 3, FALSE), "")</f>
        <v/>
      </c>
      <c r="R521" s="153" t="str">
        <f t="shared" si="59"/>
        <v/>
      </c>
      <c r="S521" s="168"/>
      <c r="T521" s="183"/>
      <c r="U521" s="137"/>
      <c r="V521" s="137"/>
      <c r="W521" s="156" t="str">
        <f xml:space="preserve"> IF(Z521 = "",
     "",
     TEXT(Z521, "mmmm"))</f>
        <v/>
      </c>
      <c r="X521" s="157"/>
      <c r="Y521" s="158"/>
      <c r="Z521" s="158"/>
      <c r="AA521" s="137" t="str">
        <f t="shared" ca="1" si="64"/>
        <v/>
      </c>
      <c r="AB521" s="137" t="str">
        <f t="shared" ca="1" si="60"/>
        <v/>
      </c>
      <c r="AC521" s="160" t="str">
        <f t="shared" ca="1" si="61"/>
        <v/>
      </c>
      <c r="AD521" s="159" t="str">
        <f t="shared" ca="1" si="62"/>
        <v/>
      </c>
      <c r="AE521" s="161"/>
      <c r="AF521" s="161"/>
      <c r="AG521" s="161"/>
      <c r="AH521" s="137"/>
      <c r="AI521" s="164" t="str">
        <f t="shared" si="57"/>
        <v/>
      </c>
      <c r="AJ521" s="164" t="str">
        <f>IF(AND(OpenPendingCases[[#This Row],[Sale Status	]]="Open Sale",OpenPendingCases[[#This Row],[Potential Same Month]]="High"),TEXT(OpenPendingCases[[#This Row],[Request Entry Date]], "[$-en-us]mmmm"),"")</f>
        <v/>
      </c>
      <c r="AK521" s="165" t="str">
        <f>IFERROR(VALUE(SUBSTITUTE(OpenPendingCases[[#This Row],[Price]]," AED","")),"")</f>
        <v/>
      </c>
      <c r="AL521" s="165" t="str">
        <f>IFERROR(VALUE(LEFT(OpenPendingCases[[#This Row],[Price]],FIND(" ",OpenPendingCases[[#This Row],[Price]])-1)),"")</f>
        <v/>
      </c>
      <c r="AM521" s="165" t="str">
        <f>IFERROR(VALUE(_xlfn.TEXTBEFORE(OpenPendingCases[[#This Row],[Price]]," AED")),"")</f>
        <v/>
      </c>
      <c r="AN521" s="165"/>
    </row>
    <row r="522" spans="3:40" ht="18" hidden="1" x14ac:dyDescent="0.35">
      <c r="C522" s="134"/>
      <c r="D522" s="137" t="str">
        <f>IF($U522="Open Sale", IF(MAX($D$4:D521)+1=0, "", MAX($D$4:D521)+1), "")</f>
        <v/>
      </c>
      <c r="E522" s="137" t="str">
        <f>IF($U522="Pending Allocation", IF(MAX($E$4:E521)+1=0, "", MAX($E$4:E521)+1), "")</f>
        <v/>
      </c>
      <c r="F522" s="137"/>
      <c r="G522" s="137"/>
      <c r="H522" s="150"/>
      <c r="I522" s="150"/>
      <c r="J522" s="68" t="str">
        <f>IF(OpenPendingCases[[#This Row],[Timepiece Reference ]]="", "", IF(_xlfn.XLOOKUP(OpenPendingCases[[#This Row],[Timepiece Reference ]], Table1[[Timepiece Reference ]], Table1[CRC STOCK], "Not Found")="YES", "CRC Stock", "Boutique Stock"))</f>
        <v/>
      </c>
      <c r="K522" s="137" t="str">
        <f>IF(OpenPendingCases[[#This Row],[Timepiece Reference ]]="", "", IF(_xlfn.XLOOKUP(OpenPendingCases[[#This Row],[Timepiece Reference ]], Table1[[Timepiece Reference ]], Table1[CRC STOCK], "Not Found")="YES", "CRC Stock", "Boutique Stock"))</f>
        <v/>
      </c>
      <c r="L522" s="143"/>
      <c r="M522" s="141"/>
      <c r="N522" s="137"/>
      <c r="O522" s="134"/>
      <c r="P522" s="94" t="str">
        <f>IFERROR(VLOOKUP(TRIM(O522), Collection!$B$2:$D$1001, 2, FALSE), "")</f>
        <v/>
      </c>
      <c r="Q522" s="190" t="str">
        <f>IFERROR(VLOOKUP(TRIM(O522), Collection!$B$2:$D$1001, 3, FALSE), "")</f>
        <v/>
      </c>
      <c r="R522" s="153" t="str">
        <f t="shared" si="59"/>
        <v/>
      </c>
      <c r="S522" s="168"/>
      <c r="T522" s="183"/>
      <c r="U522" s="137"/>
      <c r="V522" s="137"/>
      <c r="W522" s="156" t="str">
        <f t="shared" ref="W522:W539" si="65" xml:space="preserve"> IF(Z522 = "",
     "",
     TEXT(Z522, "mmmm"))</f>
        <v/>
      </c>
      <c r="X522" s="157"/>
      <c r="Y522" s="158"/>
      <c r="Z522" s="158"/>
      <c r="AA522" s="137" t="str">
        <f t="shared" ca="1" si="64"/>
        <v/>
      </c>
      <c r="AB522" s="137" t="str">
        <f t="shared" ca="1" si="60"/>
        <v/>
      </c>
      <c r="AC522" s="160" t="str">
        <f t="shared" ca="1" si="61"/>
        <v/>
      </c>
      <c r="AD522" s="159" t="str">
        <f t="shared" ca="1" si="62"/>
        <v/>
      </c>
      <c r="AE522" s="161"/>
      <c r="AF522" s="161"/>
      <c r="AG522" s="161"/>
      <c r="AH522" s="137"/>
      <c r="AI522" s="164" t="str">
        <f t="shared" si="57"/>
        <v/>
      </c>
      <c r="AJ522" s="164" t="str">
        <f>IF(AND(OpenPendingCases[[#This Row],[Sale Status	]]="Open Sale",OpenPendingCases[[#This Row],[Potential Same Month]]="High"),TEXT(OpenPendingCases[[#This Row],[Request Entry Date]], "[$-en-us]mmmm"),"")</f>
        <v/>
      </c>
      <c r="AK522" s="165" t="str">
        <f>IFERROR(VALUE(SUBSTITUTE(OpenPendingCases[[#This Row],[Price]]," AED","")),"")</f>
        <v/>
      </c>
      <c r="AL522" s="165" t="str">
        <f>IFERROR(VALUE(LEFT(OpenPendingCases[[#This Row],[Price]],FIND(" ",OpenPendingCases[[#This Row],[Price]])-1)),"")</f>
        <v/>
      </c>
      <c r="AM522" s="165" t="str">
        <f>IFERROR(VALUE(_xlfn.TEXTBEFORE(OpenPendingCases[[#This Row],[Price]]," AED")),"")</f>
        <v/>
      </c>
      <c r="AN522" s="165"/>
    </row>
    <row r="523" spans="3:40" ht="18" hidden="1" x14ac:dyDescent="0.35">
      <c r="C523" s="134"/>
      <c r="D523" s="137" t="str">
        <f>IF($U523="Open Sale", IF(MAX($D$4:D522)+1=0, "", MAX($D$4:D522)+1), "")</f>
        <v/>
      </c>
      <c r="E523" s="137" t="str">
        <f>IF($U523="Pending Allocation", IF(MAX($E$4:E522)+1=0, "", MAX($E$4:E522)+1), "")</f>
        <v/>
      </c>
      <c r="F523" s="137"/>
      <c r="G523" s="137"/>
      <c r="H523" s="150"/>
      <c r="I523" s="150"/>
      <c r="J523" s="68" t="str">
        <f>IF(OpenPendingCases[[#This Row],[Timepiece Reference ]]="", "", IF(_xlfn.XLOOKUP(OpenPendingCases[[#This Row],[Timepiece Reference ]], Table1[[Timepiece Reference ]], Table1[CRC STOCK], "Not Found")="YES", "CRC Stock", "Boutique Stock"))</f>
        <v/>
      </c>
      <c r="K523" s="137" t="str">
        <f>IF(OpenPendingCases[[#This Row],[Timepiece Reference ]]="", "", IF(_xlfn.XLOOKUP(OpenPendingCases[[#This Row],[Timepiece Reference ]], Table1[[Timepiece Reference ]], Table1[CRC STOCK], "Not Found")="YES", "CRC Stock", "Boutique Stock"))</f>
        <v/>
      </c>
      <c r="L523" s="143"/>
      <c r="M523" s="141"/>
      <c r="N523" s="137"/>
      <c r="O523" s="134"/>
      <c r="P523" s="94" t="str">
        <f>IFERROR(VLOOKUP(TRIM(O523), Collection!$B$2:$D$1001, 2, FALSE), "")</f>
        <v/>
      </c>
      <c r="Q523" s="190" t="str">
        <f>IFERROR(VLOOKUP(TRIM(O523), Collection!$B$2:$D$1001, 3, FALSE), "")</f>
        <v/>
      </c>
      <c r="R523" s="153" t="str">
        <f t="shared" si="59"/>
        <v/>
      </c>
      <c r="S523" s="168"/>
      <c r="T523" s="183"/>
      <c r="U523" s="137"/>
      <c r="V523" s="137"/>
      <c r="W523" s="156" t="str">
        <f t="shared" si="65"/>
        <v/>
      </c>
      <c r="X523" s="157"/>
      <c r="Y523" s="158"/>
      <c r="Z523" s="158"/>
      <c r="AA523" s="137" t="str">
        <f t="shared" ca="1" si="64"/>
        <v/>
      </c>
      <c r="AB523" s="137" t="str">
        <f t="shared" ca="1" si="60"/>
        <v/>
      </c>
      <c r="AC523" s="160" t="str">
        <f t="shared" ca="1" si="61"/>
        <v/>
      </c>
      <c r="AD523" s="159" t="str">
        <f t="shared" ca="1" si="62"/>
        <v/>
      </c>
      <c r="AE523" s="161"/>
      <c r="AF523" s="161"/>
      <c r="AG523" s="161"/>
      <c r="AH523" s="137"/>
      <c r="AI523" s="164" t="str">
        <f t="shared" si="57"/>
        <v/>
      </c>
      <c r="AJ523" s="164" t="str">
        <f>IF(AND(OpenPendingCases[[#This Row],[Sale Status	]]="Open Sale",OpenPendingCases[[#This Row],[Potential Same Month]]="High"),TEXT(OpenPendingCases[[#This Row],[Request Entry Date]], "[$-en-us]mmmm"),"")</f>
        <v/>
      </c>
      <c r="AK523" s="165" t="str">
        <f>IFERROR(VALUE(SUBSTITUTE(OpenPendingCases[[#This Row],[Price]]," AED","")),"")</f>
        <v/>
      </c>
      <c r="AL523" s="165" t="str">
        <f>IFERROR(VALUE(LEFT(OpenPendingCases[[#This Row],[Price]],FIND(" ",OpenPendingCases[[#This Row],[Price]])-1)),"")</f>
        <v/>
      </c>
      <c r="AM523" s="165" t="str">
        <f>IFERROR(VALUE(_xlfn.TEXTBEFORE(OpenPendingCases[[#This Row],[Price]]," AED")),"")</f>
        <v/>
      </c>
      <c r="AN523" s="165"/>
    </row>
    <row r="524" spans="3:40" ht="18" hidden="1" x14ac:dyDescent="0.35">
      <c r="C524" s="134"/>
      <c r="D524" s="137" t="str">
        <f>IF($U524="Open Sale", IF(MAX($D$4:D523)+1=0, "", MAX($D$4:D523)+1), "")</f>
        <v/>
      </c>
      <c r="E524" s="137" t="str">
        <f>IF($U524="Pending Allocation", IF(MAX($E$4:E523)+1=0, "", MAX($E$4:E523)+1), "")</f>
        <v/>
      </c>
      <c r="F524" s="137"/>
      <c r="G524" s="137"/>
      <c r="H524" s="150"/>
      <c r="I524" s="150"/>
      <c r="J524" s="68" t="str">
        <f>IF(OpenPendingCases[[#This Row],[Timepiece Reference ]]="", "", IF(_xlfn.XLOOKUP(OpenPendingCases[[#This Row],[Timepiece Reference ]], Table1[[Timepiece Reference ]], Table1[CRC STOCK], "Not Found")="YES", "CRC Stock", "Boutique Stock"))</f>
        <v/>
      </c>
      <c r="K524" s="137" t="str">
        <f>IF(OpenPendingCases[[#This Row],[Timepiece Reference ]]="", "", IF(_xlfn.XLOOKUP(OpenPendingCases[[#This Row],[Timepiece Reference ]], Table1[[Timepiece Reference ]], Table1[CRC STOCK], "Not Found")="YES", "CRC Stock", "Boutique Stock"))</f>
        <v/>
      </c>
      <c r="L524" s="143"/>
      <c r="M524" s="141"/>
      <c r="N524" s="137"/>
      <c r="O524" s="134"/>
      <c r="P524" s="94" t="str">
        <f>IFERROR(VLOOKUP(TRIM(O524), Collection!$B$2:$D$1001, 2, FALSE), "")</f>
        <v/>
      </c>
      <c r="Q524" s="190" t="str">
        <f>IFERROR(VLOOKUP(TRIM(O524), Collection!$B$2:$D$1001, 3, FALSE), "")</f>
        <v/>
      </c>
      <c r="R524" s="153" t="str">
        <f t="shared" si="59"/>
        <v/>
      </c>
      <c r="S524" s="168"/>
      <c r="T524" s="183"/>
      <c r="U524" s="137"/>
      <c r="V524" s="137"/>
      <c r="W524" s="156" t="str">
        <f t="shared" si="65"/>
        <v/>
      </c>
      <c r="X524" s="157"/>
      <c r="Y524" s="158"/>
      <c r="Z524" s="158"/>
      <c r="AA524" s="137" t="str">
        <f t="shared" ca="1" si="64"/>
        <v/>
      </c>
      <c r="AB524" s="137" t="str">
        <f t="shared" ca="1" si="60"/>
        <v/>
      </c>
      <c r="AC524" s="160" t="str">
        <f t="shared" ca="1" si="61"/>
        <v/>
      </c>
      <c r="AD524" s="159" t="str">
        <f t="shared" ca="1" si="62"/>
        <v/>
      </c>
      <c r="AE524" s="161"/>
      <c r="AF524" s="161"/>
      <c r="AG524" s="161"/>
      <c r="AH524" s="137"/>
      <c r="AI524" s="164" t="str">
        <f t="shared" si="57"/>
        <v/>
      </c>
      <c r="AJ524" s="164" t="str">
        <f>IF(AND(OpenPendingCases[[#This Row],[Sale Status	]]="Open Sale",OpenPendingCases[[#This Row],[Potential Same Month]]="High"),TEXT(OpenPendingCases[[#This Row],[Request Entry Date]], "[$-en-us]mmmm"),"")</f>
        <v/>
      </c>
      <c r="AK524" s="165" t="str">
        <f>IFERROR(VALUE(SUBSTITUTE(OpenPendingCases[[#This Row],[Price]]," AED","")),"")</f>
        <v/>
      </c>
      <c r="AL524" s="165" t="str">
        <f>IFERROR(VALUE(LEFT(OpenPendingCases[[#This Row],[Price]],FIND(" ",OpenPendingCases[[#This Row],[Price]])-1)),"")</f>
        <v/>
      </c>
      <c r="AM524" s="165" t="str">
        <f>IFERROR(VALUE(_xlfn.TEXTBEFORE(OpenPendingCases[[#This Row],[Price]]," AED")),"")</f>
        <v/>
      </c>
      <c r="AN524" s="165"/>
    </row>
    <row r="525" spans="3:40" ht="18" hidden="1" x14ac:dyDescent="0.35">
      <c r="C525" s="134"/>
      <c r="D525" s="137" t="str">
        <f>IF($U525="Open Sale", IF(MAX($D$4:D524)+1=0, "", MAX($D$4:D524)+1), "")</f>
        <v/>
      </c>
      <c r="E525" s="137" t="str">
        <f>IF($U525="Pending Allocation", IF(MAX($E$4:E524)+1=0, "", MAX($E$4:E524)+1), "")</f>
        <v/>
      </c>
      <c r="F525" s="137"/>
      <c r="G525" s="137"/>
      <c r="H525" s="150"/>
      <c r="I525" s="150"/>
      <c r="J525" s="68" t="str">
        <f>IF(OpenPendingCases[[#This Row],[Timepiece Reference ]]="", "", IF(_xlfn.XLOOKUP(OpenPendingCases[[#This Row],[Timepiece Reference ]], Table1[[Timepiece Reference ]], Table1[CRC STOCK], "Not Found")="YES", "CRC Stock", "Boutique Stock"))</f>
        <v/>
      </c>
      <c r="K525" s="137" t="str">
        <f>IF(OpenPendingCases[[#This Row],[Timepiece Reference ]]="", "", IF(_xlfn.XLOOKUP(OpenPendingCases[[#This Row],[Timepiece Reference ]], Table1[[Timepiece Reference ]], Table1[CRC STOCK], "Not Found")="YES", "CRC Stock", "Boutique Stock"))</f>
        <v/>
      </c>
      <c r="L525" s="143"/>
      <c r="M525" s="141"/>
      <c r="N525" s="137"/>
      <c r="O525" s="134"/>
      <c r="P525" s="94" t="str">
        <f>IFERROR(VLOOKUP(TRIM(O525), Collection!$B$2:$D$1001, 2, FALSE), "")</f>
        <v/>
      </c>
      <c r="Q525" s="190" t="str">
        <f>IFERROR(VLOOKUP(TRIM(O525), Collection!$B$2:$D$1001, 3, FALSE), "")</f>
        <v/>
      </c>
      <c r="R525" s="153" t="str">
        <f t="shared" si="59"/>
        <v/>
      </c>
      <c r="S525" s="168"/>
      <c r="T525" s="183"/>
      <c r="U525" s="137"/>
      <c r="V525" s="137"/>
      <c r="W525" s="156" t="str">
        <f t="shared" si="65"/>
        <v/>
      </c>
      <c r="X525" s="157"/>
      <c r="Y525" s="158"/>
      <c r="Z525" s="158"/>
      <c r="AA525" s="137" t="str">
        <f t="shared" ca="1" si="64"/>
        <v/>
      </c>
      <c r="AB525" s="137" t="str">
        <f t="shared" ca="1" si="60"/>
        <v/>
      </c>
      <c r="AC525" s="160" t="str">
        <f t="shared" ca="1" si="61"/>
        <v/>
      </c>
      <c r="AD525" s="159" t="str">
        <f t="shared" ca="1" si="62"/>
        <v/>
      </c>
      <c r="AE525" s="161"/>
      <c r="AF525" s="161"/>
      <c r="AG525" s="161"/>
      <c r="AH525" s="137"/>
      <c r="AI525" s="164" t="str">
        <f t="shared" si="57"/>
        <v/>
      </c>
      <c r="AJ525" s="164" t="str">
        <f>IF(AND(OpenPendingCases[[#This Row],[Sale Status	]]="Open Sale",OpenPendingCases[[#This Row],[Potential Same Month]]="High"),TEXT(OpenPendingCases[[#This Row],[Request Entry Date]], "[$-en-us]mmmm"),"")</f>
        <v/>
      </c>
      <c r="AK525" s="165" t="str">
        <f>IFERROR(VALUE(SUBSTITUTE(OpenPendingCases[[#This Row],[Price]]," AED","")),"")</f>
        <v/>
      </c>
      <c r="AL525" s="165" t="str">
        <f>IFERROR(VALUE(LEFT(OpenPendingCases[[#This Row],[Price]],FIND(" ",OpenPendingCases[[#This Row],[Price]])-1)),"")</f>
        <v/>
      </c>
      <c r="AM525" s="165" t="str">
        <f>IFERROR(VALUE(_xlfn.TEXTBEFORE(OpenPendingCases[[#This Row],[Price]]," AED")),"")</f>
        <v/>
      </c>
      <c r="AN525" s="165"/>
    </row>
    <row r="526" spans="3:40" ht="18" hidden="1" x14ac:dyDescent="0.35">
      <c r="C526" s="134"/>
      <c r="D526" s="137"/>
      <c r="E526" s="137" t="str">
        <f>IF($U526="Pending Allocation", IF(MAX($E$4:E525)+1=0, "", MAX($E$4:E525)+1), "")</f>
        <v/>
      </c>
      <c r="F526" s="137"/>
      <c r="G526" s="137"/>
      <c r="H526" s="150"/>
      <c r="I526" s="150"/>
      <c r="J526" s="68" t="str">
        <f>IF(OpenPendingCases[[#This Row],[Timepiece Reference ]]="", "", IF(_xlfn.XLOOKUP(OpenPendingCases[[#This Row],[Timepiece Reference ]], Table1[[Timepiece Reference ]], Table1[CRC STOCK], "Not Found")="YES", "CRC Stock", "Boutique Stock"))</f>
        <v/>
      </c>
      <c r="K526" s="137" t="str">
        <f>IF(OpenPendingCases[[#This Row],[Timepiece Reference ]]="", "", IF(_xlfn.XLOOKUP(OpenPendingCases[[#This Row],[Timepiece Reference ]], Table1[[Timepiece Reference ]], Table1[CRC STOCK], "Not Found")="YES", "CRC Stock", "Boutique Stock"))</f>
        <v/>
      </c>
      <c r="L526" s="143"/>
      <c r="M526" s="141"/>
      <c r="N526" s="137"/>
      <c r="O526" s="134"/>
      <c r="P526" s="94" t="str">
        <f>IFERROR(VLOOKUP(TRIM(O526), Collection!$B$2:$D$1001, 2, FALSE), "")</f>
        <v/>
      </c>
      <c r="Q526" s="190" t="str">
        <f>IFERROR(VLOOKUP(TRIM(O526), Collection!$B$2:$D$1001, 3, FALSE), "")</f>
        <v/>
      </c>
      <c r="R526" s="153" t="str">
        <f t="shared" si="59"/>
        <v/>
      </c>
      <c r="S526" s="168"/>
      <c r="T526" s="183"/>
      <c r="U526" s="137"/>
      <c r="V526" s="137"/>
      <c r="W526" s="156" t="str">
        <f t="shared" si="65"/>
        <v/>
      </c>
      <c r="X526" s="157"/>
      <c r="Y526" s="158"/>
      <c r="Z526" s="158"/>
      <c r="AA526" s="137" t="str">
        <f t="shared" ca="1" si="64"/>
        <v/>
      </c>
      <c r="AB526" s="137" t="str">
        <f t="shared" ca="1" si="60"/>
        <v/>
      </c>
      <c r="AC526" s="160" t="str">
        <f t="shared" ca="1" si="61"/>
        <v/>
      </c>
      <c r="AD526" s="159" t="str">
        <f t="shared" ca="1" si="62"/>
        <v/>
      </c>
      <c r="AE526" s="161"/>
      <c r="AF526" s="161"/>
      <c r="AG526" s="161"/>
      <c r="AH526" s="137"/>
      <c r="AI526" s="164" t="str">
        <f t="shared" si="57"/>
        <v/>
      </c>
      <c r="AJ526" s="164" t="str">
        <f>IF(AND(OpenPendingCases[[#This Row],[Sale Status	]]="Open Sale",OpenPendingCases[[#This Row],[Potential Same Month]]="High"),TEXT(OpenPendingCases[[#This Row],[Request Entry Date]], "[$-en-us]mmmm"),"")</f>
        <v/>
      </c>
      <c r="AK526" s="165" t="str">
        <f>IFERROR(VALUE(SUBSTITUTE(OpenPendingCases[[#This Row],[Price]]," AED","")),"")</f>
        <v/>
      </c>
      <c r="AL526" s="165" t="str">
        <f>IFERROR(VALUE(LEFT(OpenPendingCases[[#This Row],[Price]],FIND(" ",OpenPendingCases[[#This Row],[Price]])-1)),"")</f>
        <v/>
      </c>
      <c r="AM526" s="165" t="str">
        <f>IFERROR(VALUE(_xlfn.TEXTBEFORE(OpenPendingCases[[#This Row],[Price]]," AED")),"")</f>
        <v/>
      </c>
      <c r="AN526" s="165"/>
    </row>
    <row r="527" spans="3:40" ht="18" hidden="1" x14ac:dyDescent="0.35">
      <c r="C527" s="134"/>
      <c r="D527" s="137" t="str">
        <f>IF($U527="Open", IF(MAX($D$4:D526)+1=0, "", MAX($D$4:D526)+1), "")</f>
        <v/>
      </c>
      <c r="E527" s="137" t="str">
        <f>IF($U527="Pending Allocation", IF(MAX($E$4:E526)+1=0, "", MAX($E$4:E526)+1), "")</f>
        <v/>
      </c>
      <c r="F527" s="137"/>
      <c r="G527" s="137"/>
      <c r="H527" s="150"/>
      <c r="I527" s="150"/>
      <c r="J527" s="68" t="str">
        <f>IF(OpenPendingCases[[#This Row],[Timepiece Reference ]]="", "", IF(_xlfn.XLOOKUP(OpenPendingCases[[#This Row],[Timepiece Reference ]], Table1[[Timepiece Reference ]], Table1[CRC STOCK], "Not Found")="YES", "CRC Stock", "Boutique Stock"))</f>
        <v/>
      </c>
      <c r="K527" s="137" t="str">
        <f>IF(OpenPendingCases[[#This Row],[Timepiece Reference ]]="", "", IF(_xlfn.XLOOKUP(OpenPendingCases[[#This Row],[Timepiece Reference ]], Table1[[Timepiece Reference ]], Table1[CRC STOCK], "Not Found")="YES", "CRC Stock", "Boutique Stock"))</f>
        <v/>
      </c>
      <c r="L527" s="143"/>
      <c r="M527" s="141"/>
      <c r="N527" s="137"/>
      <c r="O527" s="134"/>
      <c r="P527" s="94" t="str">
        <f>IFERROR(VLOOKUP(TRIM(O527), Collection!$B$2:$D$1001, 2, FALSE), "")</f>
        <v/>
      </c>
      <c r="Q527" s="190" t="str">
        <f>IFERROR(VLOOKUP(TRIM(O527), Collection!$B$2:$D$1001, 3, FALSE), "")</f>
        <v/>
      </c>
      <c r="R527" s="153" t="str">
        <f t="shared" si="59"/>
        <v/>
      </c>
      <c r="S527" s="168"/>
      <c r="T527" s="183"/>
      <c r="U527" s="137"/>
      <c r="V527" s="137"/>
      <c r="W527" s="156" t="str">
        <f t="shared" si="65"/>
        <v/>
      </c>
      <c r="X527" s="157"/>
      <c r="Y527" s="158"/>
      <c r="Z527" s="158"/>
      <c r="AA527" s="137" t="str">
        <f t="shared" ca="1" si="64"/>
        <v/>
      </c>
      <c r="AB527" s="137" t="str">
        <f t="shared" ca="1" si="60"/>
        <v/>
      </c>
      <c r="AC527" s="160" t="str">
        <f t="shared" ca="1" si="61"/>
        <v/>
      </c>
      <c r="AD527" s="159" t="str">
        <f t="shared" ca="1" si="62"/>
        <v/>
      </c>
      <c r="AE527" s="161"/>
      <c r="AF527" s="161"/>
      <c r="AG527" s="161"/>
      <c r="AH527" s="137"/>
      <c r="AI527" s="164" t="str">
        <f t="shared" si="57"/>
        <v/>
      </c>
      <c r="AJ527" s="164" t="str">
        <f>IF(AND(OpenPendingCases[[#This Row],[Sale Status	]]="Open Sale",OpenPendingCases[[#This Row],[Potential Same Month]]="High"),TEXT(OpenPendingCases[[#This Row],[Request Entry Date]], "[$-en-us]mmmm"),"")</f>
        <v/>
      </c>
      <c r="AK527" s="165" t="str">
        <f>IFERROR(VALUE(SUBSTITUTE(OpenPendingCases[[#This Row],[Price]]," AED","")),"")</f>
        <v/>
      </c>
      <c r="AL527" s="165" t="str">
        <f>IFERROR(VALUE(LEFT(OpenPendingCases[[#This Row],[Price]],FIND(" ",OpenPendingCases[[#This Row],[Price]])-1)),"")</f>
        <v/>
      </c>
      <c r="AM527" s="165" t="str">
        <f>IFERROR(VALUE(_xlfn.TEXTBEFORE(OpenPendingCases[[#This Row],[Price]]," AED")),"")</f>
        <v/>
      </c>
      <c r="AN527" s="165"/>
    </row>
    <row r="528" spans="3:40" ht="18" hidden="1" x14ac:dyDescent="0.35">
      <c r="C528" s="134"/>
      <c r="D528" s="137" t="str">
        <f>IF($U528="Open", IF(MAX($D$4:D527)+1=0, "", MAX($D$4:D527)+1), "")</f>
        <v/>
      </c>
      <c r="E528" s="137" t="str">
        <f>IF($U528="Pending Allocation", IF(MAX($E$4:E527)+1=0, "", MAX($E$4:E527)+1), "")</f>
        <v/>
      </c>
      <c r="F528" s="137"/>
      <c r="G528" s="137"/>
      <c r="H528" s="150"/>
      <c r="I528" s="150"/>
      <c r="J528" s="68" t="str">
        <f>IF(OpenPendingCases[[#This Row],[Timepiece Reference ]]="", "", IF(_xlfn.XLOOKUP(OpenPendingCases[[#This Row],[Timepiece Reference ]], Table1[[Timepiece Reference ]], Table1[CRC STOCK], "Not Found")="YES", "CRC Stock", "Boutique Stock"))</f>
        <v/>
      </c>
      <c r="K528" s="137" t="str">
        <f>IF(OpenPendingCases[[#This Row],[Timepiece Reference ]]="", "", IF(_xlfn.XLOOKUP(OpenPendingCases[[#This Row],[Timepiece Reference ]], Table1[[Timepiece Reference ]], Table1[CRC STOCK], "Not Found")="YES", "CRC Stock", "Boutique Stock"))</f>
        <v/>
      </c>
      <c r="L528" s="143"/>
      <c r="M528" s="141"/>
      <c r="N528" s="137"/>
      <c r="O528" s="134"/>
      <c r="P528" s="94" t="str">
        <f>IFERROR(VLOOKUP(TRIM(O528), Collection!$B$2:$D$1001, 2, FALSE), "")</f>
        <v/>
      </c>
      <c r="Q528" s="190" t="str">
        <f>IFERROR(VLOOKUP(TRIM(O528), Collection!$B$2:$D$1001, 3, FALSE), "")</f>
        <v/>
      </c>
      <c r="R528" s="153" t="str">
        <f t="shared" si="59"/>
        <v/>
      </c>
      <c r="S528" s="168"/>
      <c r="T528" s="183"/>
      <c r="U528" s="137"/>
      <c r="V528" s="137"/>
      <c r="W528" s="156" t="str">
        <f t="shared" si="65"/>
        <v/>
      </c>
      <c r="X528" s="157"/>
      <c r="Y528" s="158"/>
      <c r="Z528" s="158"/>
      <c r="AA528" s="137" t="str">
        <f t="shared" ca="1" si="64"/>
        <v/>
      </c>
      <c r="AB528" s="137" t="str">
        <f t="shared" ca="1" si="60"/>
        <v/>
      </c>
      <c r="AC528" s="160" t="str">
        <f t="shared" ca="1" si="61"/>
        <v/>
      </c>
      <c r="AD528" s="159" t="str">
        <f t="shared" ca="1" si="62"/>
        <v/>
      </c>
      <c r="AE528" s="161"/>
      <c r="AF528" s="161"/>
      <c r="AG528" s="161"/>
      <c r="AH528" s="137"/>
      <c r="AI528" s="164" t="str">
        <f t="shared" si="57"/>
        <v/>
      </c>
      <c r="AJ528" s="164" t="str">
        <f>IF(AND(OpenPendingCases[[#This Row],[Sale Status	]]="Open Sale",OpenPendingCases[[#This Row],[Potential Same Month]]="High"),TEXT(OpenPendingCases[[#This Row],[Request Entry Date]], "[$-en-us]mmmm"),"")</f>
        <v/>
      </c>
      <c r="AK528" s="165" t="str">
        <f>IFERROR(VALUE(SUBSTITUTE(OpenPendingCases[[#This Row],[Price]]," AED","")),"")</f>
        <v/>
      </c>
      <c r="AL528" s="165" t="str">
        <f>IFERROR(VALUE(LEFT(OpenPendingCases[[#This Row],[Price]],FIND(" ",OpenPendingCases[[#This Row],[Price]])-1)),"")</f>
        <v/>
      </c>
      <c r="AM528" s="165" t="str">
        <f>IFERROR(VALUE(_xlfn.TEXTBEFORE(OpenPendingCases[[#This Row],[Price]]," AED")),"")</f>
        <v/>
      </c>
      <c r="AN528" s="165"/>
    </row>
    <row r="529" spans="3:40" ht="18" hidden="1" x14ac:dyDescent="0.35">
      <c r="C529" s="134"/>
      <c r="D529" s="137" t="str">
        <f>IF($U529="Open", IF(MAX($D$4:D528)+1=0, "", MAX($D$4:D528)+1), "")</f>
        <v/>
      </c>
      <c r="E529" s="137" t="str">
        <f>IF($U529="Pending Allocation", IF(MAX($E$4:E528)+1=0, "", MAX($E$4:E528)+1), "")</f>
        <v/>
      </c>
      <c r="F529" s="137"/>
      <c r="G529" s="137"/>
      <c r="H529" s="150"/>
      <c r="I529" s="150"/>
      <c r="J529" s="68" t="str">
        <f>IF(OpenPendingCases[[#This Row],[Timepiece Reference ]]="", "", IF(_xlfn.XLOOKUP(OpenPendingCases[[#This Row],[Timepiece Reference ]], Table1[[Timepiece Reference ]], Table1[CRC STOCK], "Not Found")="YES", "CRC Stock", "Boutique Stock"))</f>
        <v/>
      </c>
      <c r="K529" s="137" t="str">
        <f>IF(OpenPendingCases[[#This Row],[Timepiece Reference ]]="", "", IF(_xlfn.XLOOKUP(OpenPendingCases[[#This Row],[Timepiece Reference ]], Table1[[Timepiece Reference ]], Table1[CRC STOCK], "Not Found")="YES", "CRC Stock", "Boutique Stock"))</f>
        <v/>
      </c>
      <c r="L529" s="143"/>
      <c r="M529" s="141"/>
      <c r="N529" s="137"/>
      <c r="O529" s="134"/>
      <c r="P529" s="94" t="str">
        <f>IFERROR(VLOOKUP(TRIM(O529), Collection!$B$2:$D$1001, 2, FALSE), "")</f>
        <v/>
      </c>
      <c r="Q529" s="190" t="str">
        <f>IFERROR(VLOOKUP(TRIM(O529), Collection!$B$2:$D$1001, 3, FALSE), "")</f>
        <v/>
      </c>
      <c r="R529" s="153" t="str">
        <f t="shared" si="59"/>
        <v/>
      </c>
      <c r="S529" s="168"/>
      <c r="T529" s="183"/>
      <c r="U529" s="137"/>
      <c r="V529" s="137"/>
      <c r="W529" s="156" t="str">
        <f t="shared" si="65"/>
        <v/>
      </c>
      <c r="X529" s="157"/>
      <c r="Y529" s="158"/>
      <c r="Z529" s="158"/>
      <c r="AA529" s="137" t="str">
        <f t="shared" ca="1" si="64"/>
        <v/>
      </c>
      <c r="AB529" s="137" t="str">
        <f t="shared" ca="1" si="60"/>
        <v/>
      </c>
      <c r="AC529" s="160" t="str">
        <f t="shared" ca="1" si="61"/>
        <v/>
      </c>
      <c r="AD529" s="159" t="str">
        <f t="shared" ca="1" si="62"/>
        <v/>
      </c>
      <c r="AE529" s="161"/>
      <c r="AF529" s="161"/>
      <c r="AG529" s="161"/>
      <c r="AH529" s="137"/>
      <c r="AI529" s="164" t="str">
        <f t="shared" si="57"/>
        <v/>
      </c>
      <c r="AJ529" s="164" t="str">
        <f>IF(AND(OpenPendingCases[[#This Row],[Sale Status	]]="Open Sale",OpenPendingCases[[#This Row],[Potential Same Month]]="High"),TEXT(OpenPendingCases[[#This Row],[Request Entry Date]], "[$-en-us]mmmm"),"")</f>
        <v/>
      </c>
      <c r="AK529" s="165" t="str">
        <f>IFERROR(VALUE(SUBSTITUTE(OpenPendingCases[[#This Row],[Price]]," AED","")),"")</f>
        <v/>
      </c>
      <c r="AL529" s="165" t="str">
        <f>IFERROR(VALUE(LEFT(OpenPendingCases[[#This Row],[Price]],FIND(" ",OpenPendingCases[[#This Row],[Price]])-1)),"")</f>
        <v/>
      </c>
      <c r="AM529" s="165" t="str">
        <f>IFERROR(VALUE(_xlfn.TEXTBEFORE(OpenPendingCases[[#This Row],[Price]]," AED")),"")</f>
        <v/>
      </c>
      <c r="AN529" s="165"/>
    </row>
    <row r="530" spans="3:40" ht="18" hidden="1" x14ac:dyDescent="0.35">
      <c r="C530" s="134"/>
      <c r="D530" s="137" t="str">
        <f>IF($U530="Open", IF(MAX($D$4:D529)+1=0, "", MAX($D$4:D529)+1), "")</f>
        <v/>
      </c>
      <c r="E530" s="137" t="str">
        <f>IF($U530="Pending Allocation", IF(MAX($E$4:E529)+1=0, "", MAX($E$4:E529)+1), "")</f>
        <v/>
      </c>
      <c r="F530" s="137"/>
      <c r="G530" s="137"/>
      <c r="H530" s="150"/>
      <c r="I530" s="150"/>
      <c r="J530" s="68" t="str">
        <f>IF(OpenPendingCases[[#This Row],[Timepiece Reference ]]="", "", IF(_xlfn.XLOOKUP(OpenPendingCases[[#This Row],[Timepiece Reference ]], Table1[[Timepiece Reference ]], Table1[CRC STOCK], "Not Found")="YES", "CRC Stock", "Boutique Stock"))</f>
        <v/>
      </c>
      <c r="K530" s="137" t="str">
        <f>IF(OpenPendingCases[[#This Row],[Timepiece Reference ]]="", "", IF(_xlfn.XLOOKUP(OpenPendingCases[[#This Row],[Timepiece Reference ]], Table1[[Timepiece Reference ]], Table1[CRC STOCK], "Not Found")="YES", "CRC Stock", "Boutique Stock"))</f>
        <v/>
      </c>
      <c r="L530" s="143"/>
      <c r="M530" s="141"/>
      <c r="N530" s="137"/>
      <c r="O530" s="134"/>
      <c r="P530" s="94" t="str">
        <f>IFERROR(VLOOKUP(TRIM(O530), Collection!$B$2:$D$1001, 2, FALSE), "")</f>
        <v/>
      </c>
      <c r="Q530" s="190" t="str">
        <f>IFERROR(VLOOKUP(TRIM(O530), Collection!$B$2:$D$1001, 3, FALSE), "")</f>
        <v/>
      </c>
      <c r="R530" s="153" t="str">
        <f t="shared" si="59"/>
        <v/>
      </c>
      <c r="S530" s="168"/>
      <c r="T530" s="183"/>
      <c r="U530" s="137"/>
      <c r="V530" s="137"/>
      <c r="W530" s="156" t="str">
        <f t="shared" si="65"/>
        <v/>
      </c>
      <c r="X530" s="157"/>
      <c r="Y530" s="158"/>
      <c r="Z530" s="158"/>
      <c r="AA530" s="137" t="str">
        <f t="shared" ca="1" si="64"/>
        <v/>
      </c>
      <c r="AB530" s="137" t="str">
        <f t="shared" ca="1" si="60"/>
        <v/>
      </c>
      <c r="AC530" s="160" t="str">
        <f t="shared" ca="1" si="61"/>
        <v/>
      </c>
      <c r="AD530" s="159" t="str">
        <f t="shared" ca="1" si="62"/>
        <v/>
      </c>
      <c r="AE530" s="161"/>
      <c r="AF530" s="161"/>
      <c r="AG530" s="161"/>
      <c r="AH530" s="137"/>
      <c r="AI530" s="164" t="str">
        <f t="shared" si="57"/>
        <v/>
      </c>
      <c r="AJ530" s="164" t="str">
        <f>IF(AND(OpenPendingCases[[#This Row],[Sale Status	]]="Open Sale",OpenPendingCases[[#This Row],[Potential Same Month]]="High"),TEXT(OpenPendingCases[[#This Row],[Request Entry Date]], "[$-en-us]mmmm"),"")</f>
        <v/>
      </c>
      <c r="AK530" s="165" t="str">
        <f>IFERROR(VALUE(SUBSTITUTE(OpenPendingCases[[#This Row],[Price]]," AED","")),"")</f>
        <v/>
      </c>
      <c r="AL530" s="165" t="str">
        <f>IFERROR(VALUE(LEFT(OpenPendingCases[[#This Row],[Price]],FIND(" ",OpenPendingCases[[#This Row],[Price]])-1)),"")</f>
        <v/>
      </c>
      <c r="AM530" s="165" t="str">
        <f>IFERROR(VALUE(_xlfn.TEXTBEFORE(OpenPendingCases[[#This Row],[Price]]," AED")),"")</f>
        <v/>
      </c>
      <c r="AN530" s="165"/>
    </row>
    <row r="531" spans="3:40" ht="18" hidden="1" x14ac:dyDescent="0.35">
      <c r="C531" s="134"/>
      <c r="D531" s="137" t="str">
        <f>IF($U531="Open", IF(MAX($D$4:D530)+1=0, "", MAX($D$4:D530)+1), "")</f>
        <v/>
      </c>
      <c r="E531" s="137" t="str">
        <f>IF($U531="Pending Allocation", IF(MAX($E$4:E530)+1=0, "", MAX($E$4:E530)+1), "")</f>
        <v/>
      </c>
      <c r="F531" s="137"/>
      <c r="G531" s="137"/>
      <c r="H531" s="150"/>
      <c r="I531" s="150"/>
      <c r="J531" s="68" t="str">
        <f>IF(OpenPendingCases[[#This Row],[Timepiece Reference ]]="", "", IF(_xlfn.XLOOKUP(OpenPendingCases[[#This Row],[Timepiece Reference ]], Table1[[Timepiece Reference ]], Table1[CRC STOCK], "Not Found")="YES", "CRC Stock", "Boutique Stock"))</f>
        <v/>
      </c>
      <c r="K531" s="137" t="str">
        <f>IF(OpenPendingCases[[#This Row],[Timepiece Reference ]]="", "", IF(_xlfn.XLOOKUP(OpenPendingCases[[#This Row],[Timepiece Reference ]], Table1[[Timepiece Reference ]], Table1[CRC STOCK], "Not Found")="YES", "CRC Stock", "Boutique Stock"))</f>
        <v/>
      </c>
      <c r="L531" s="143"/>
      <c r="M531" s="141"/>
      <c r="N531" s="137"/>
      <c r="O531" s="134"/>
      <c r="P531" s="94" t="str">
        <f>IFERROR(VLOOKUP(TRIM(O531), Collection!$B$2:$D$1001, 2, FALSE), "")</f>
        <v/>
      </c>
      <c r="Q531" s="190" t="str">
        <f>IFERROR(VLOOKUP(TRIM(O531), Collection!$B$2:$D$1001, 3, FALSE), "")</f>
        <v/>
      </c>
      <c r="R531" s="153" t="str">
        <f t="shared" si="59"/>
        <v/>
      </c>
      <c r="S531" s="168"/>
      <c r="T531" s="183"/>
      <c r="U531" s="137"/>
      <c r="V531" s="137"/>
      <c r="W531" s="156" t="str">
        <f t="shared" si="65"/>
        <v/>
      </c>
      <c r="X531" s="157"/>
      <c r="Y531" s="158"/>
      <c r="Z531" s="158"/>
      <c r="AA531" s="137" t="str">
        <f t="shared" ca="1" si="64"/>
        <v/>
      </c>
      <c r="AB531" s="137" t="str">
        <f t="shared" ca="1" si="60"/>
        <v/>
      </c>
      <c r="AC531" s="160" t="str">
        <f t="shared" ca="1" si="61"/>
        <v/>
      </c>
      <c r="AD531" s="159" t="str">
        <f t="shared" ca="1" si="62"/>
        <v/>
      </c>
      <c r="AE531" s="161"/>
      <c r="AF531" s="161"/>
      <c r="AG531" s="161"/>
      <c r="AH531" s="137"/>
      <c r="AI531" s="164" t="str">
        <f t="shared" si="57"/>
        <v/>
      </c>
      <c r="AJ531" s="164" t="str">
        <f>IF(AND(OpenPendingCases[[#This Row],[Sale Status	]]="Open Sale",OpenPendingCases[[#This Row],[Potential Same Month]]="High"),TEXT(OpenPendingCases[[#This Row],[Request Entry Date]], "[$-en-us]mmmm"),"")</f>
        <v/>
      </c>
      <c r="AK531" s="165" t="str">
        <f>IFERROR(VALUE(SUBSTITUTE(OpenPendingCases[[#This Row],[Price]]," AED","")),"")</f>
        <v/>
      </c>
      <c r="AL531" s="165" t="str">
        <f>IFERROR(VALUE(LEFT(OpenPendingCases[[#This Row],[Price]],FIND(" ",OpenPendingCases[[#This Row],[Price]])-1)),"")</f>
        <v/>
      </c>
      <c r="AM531" s="165" t="str">
        <f>IFERROR(VALUE(_xlfn.TEXTBEFORE(OpenPendingCases[[#This Row],[Price]]," AED")),"")</f>
        <v/>
      </c>
      <c r="AN531" s="165"/>
    </row>
    <row r="532" spans="3:40" ht="18" hidden="1" x14ac:dyDescent="0.35">
      <c r="C532" s="134"/>
      <c r="D532" s="137" t="str">
        <f>IF($U532="Open", IF(MAX($D$4:D531)+1=0, "", MAX($D$4:D531)+1), "")</f>
        <v/>
      </c>
      <c r="E532" s="137" t="str">
        <f>IF($U532="Pending Allocation", IF(MAX($E$4:E531)+1=0, "", MAX($E$4:E531)+1), "")</f>
        <v/>
      </c>
      <c r="F532" s="137"/>
      <c r="G532" s="137"/>
      <c r="H532" s="150"/>
      <c r="I532" s="150"/>
      <c r="J532" s="68" t="str">
        <f>IF(OpenPendingCases[[#This Row],[Timepiece Reference ]]="", "", IF(_xlfn.XLOOKUP(OpenPendingCases[[#This Row],[Timepiece Reference ]], Table1[[Timepiece Reference ]], Table1[CRC STOCK], "Not Found")="YES", "CRC Stock", "Boutique Stock"))</f>
        <v/>
      </c>
      <c r="K532" s="137" t="str">
        <f>IF(OpenPendingCases[[#This Row],[Timepiece Reference ]]="", "", IF(_xlfn.XLOOKUP(OpenPendingCases[[#This Row],[Timepiece Reference ]], Table1[[Timepiece Reference ]], Table1[CRC STOCK], "Not Found")="YES", "CRC Stock", "Boutique Stock"))</f>
        <v/>
      </c>
      <c r="L532" s="143"/>
      <c r="M532" s="141"/>
      <c r="N532" s="137"/>
      <c r="O532" s="134"/>
      <c r="P532" s="94" t="str">
        <f>IFERROR(VLOOKUP(TRIM(O532), Collection!$B$2:$D$1001, 2, FALSE), "")</f>
        <v/>
      </c>
      <c r="Q532" s="190" t="str">
        <f>IFERROR(VLOOKUP(TRIM(O532), Collection!$B$2:$D$1001, 3, FALSE), "")</f>
        <v/>
      </c>
      <c r="R532" s="153" t="str">
        <f t="shared" si="59"/>
        <v/>
      </c>
      <c r="S532" s="168"/>
      <c r="T532" s="183"/>
      <c r="U532" s="137"/>
      <c r="V532" s="137"/>
      <c r="W532" s="156" t="str">
        <f t="shared" si="65"/>
        <v/>
      </c>
      <c r="X532" s="157"/>
      <c r="Y532" s="158"/>
      <c r="Z532" s="158"/>
      <c r="AA532" s="137" t="str">
        <f t="shared" ca="1" si="64"/>
        <v/>
      </c>
      <c r="AB532" s="137" t="str">
        <f t="shared" ca="1" si="60"/>
        <v/>
      </c>
      <c r="AC532" s="160" t="str">
        <f t="shared" ca="1" si="61"/>
        <v/>
      </c>
      <c r="AD532" s="159" t="str">
        <f t="shared" ca="1" si="62"/>
        <v/>
      </c>
      <c r="AE532" s="161"/>
      <c r="AF532" s="161"/>
      <c r="AG532" s="161"/>
      <c r="AH532" s="137"/>
      <c r="AI532" s="164" t="str">
        <f t="shared" si="57"/>
        <v/>
      </c>
      <c r="AJ532" s="164" t="str">
        <f>IF(AND(OpenPendingCases[[#This Row],[Sale Status	]]="Open Sale",OpenPendingCases[[#This Row],[Potential Same Month]]="High"),TEXT(OpenPendingCases[[#This Row],[Request Entry Date]], "[$-en-us]mmmm"),"")</f>
        <v/>
      </c>
      <c r="AK532" s="165" t="str">
        <f>IFERROR(VALUE(SUBSTITUTE(OpenPendingCases[[#This Row],[Price]]," AED","")),"")</f>
        <v/>
      </c>
      <c r="AL532" s="165" t="str">
        <f>IFERROR(VALUE(LEFT(OpenPendingCases[[#This Row],[Price]],FIND(" ",OpenPendingCases[[#This Row],[Price]])-1)),"")</f>
        <v/>
      </c>
      <c r="AM532" s="165" t="str">
        <f>IFERROR(VALUE(_xlfn.TEXTBEFORE(OpenPendingCases[[#This Row],[Price]]," AED")),"")</f>
        <v/>
      </c>
      <c r="AN532" s="165"/>
    </row>
    <row r="533" spans="3:40" ht="18" hidden="1" x14ac:dyDescent="0.35">
      <c r="C533" s="134"/>
      <c r="D533" s="137" t="str">
        <f>IF($U533="Open", IF(MAX($D$4:D532)+1=0, "", MAX($D$4:D532)+1), "")</f>
        <v/>
      </c>
      <c r="E533" s="137" t="str">
        <f>IF($U533="Pending Allocation", IF(MAX($E$4:E532)+1=0, "", MAX($E$4:E532)+1), "")</f>
        <v/>
      </c>
      <c r="F533" s="137"/>
      <c r="G533" s="137"/>
      <c r="H533" s="150"/>
      <c r="I533" s="150"/>
      <c r="J533" s="68" t="str">
        <f>IF(OpenPendingCases[[#This Row],[Timepiece Reference ]]="", "", IF(_xlfn.XLOOKUP(OpenPendingCases[[#This Row],[Timepiece Reference ]], Table1[[Timepiece Reference ]], Table1[CRC STOCK], "Not Found")="YES", "CRC Stock", "Boutique Stock"))</f>
        <v/>
      </c>
      <c r="K533" s="137" t="str">
        <f>IF(OpenPendingCases[[#This Row],[Timepiece Reference ]]="", "", IF(_xlfn.XLOOKUP(OpenPendingCases[[#This Row],[Timepiece Reference ]], Table1[[Timepiece Reference ]], Table1[CRC STOCK], "Not Found")="YES", "CRC Stock", "Boutique Stock"))</f>
        <v/>
      </c>
      <c r="L533" s="143"/>
      <c r="M533" s="141"/>
      <c r="N533" s="137"/>
      <c r="O533" s="134"/>
      <c r="P533" s="94" t="str">
        <f>IFERROR(VLOOKUP(TRIM(O533), Collection!$B$2:$D$1001, 2, FALSE), "")</f>
        <v/>
      </c>
      <c r="Q533" s="190" t="str">
        <f>IFERROR(VLOOKUP(TRIM(O533), Collection!$B$2:$D$1001, 3, FALSE), "")</f>
        <v/>
      </c>
      <c r="R533" s="153" t="str">
        <f t="shared" si="59"/>
        <v/>
      </c>
      <c r="S533" s="168"/>
      <c r="T533" s="183"/>
      <c r="U533" s="137"/>
      <c r="V533" s="137"/>
      <c r="W533" s="156" t="str">
        <f t="shared" si="65"/>
        <v/>
      </c>
      <c r="X533" s="157"/>
      <c r="Y533" s="158"/>
      <c r="Z533" s="158"/>
      <c r="AA533" s="137" t="str">
        <f t="shared" ca="1" si="64"/>
        <v/>
      </c>
      <c r="AB533" s="137" t="str">
        <f t="shared" ca="1" si="60"/>
        <v/>
      </c>
      <c r="AC533" s="160" t="str">
        <f t="shared" ca="1" si="61"/>
        <v/>
      </c>
      <c r="AD533" s="159" t="str">
        <f t="shared" ca="1" si="62"/>
        <v/>
      </c>
      <c r="AE533" s="161"/>
      <c r="AF533" s="161"/>
      <c r="AG533" s="161"/>
      <c r="AH533" s="137"/>
      <c r="AI533" s="164" t="str">
        <f t="shared" si="57"/>
        <v/>
      </c>
      <c r="AJ533" s="164" t="str">
        <f>IF(AND(OpenPendingCases[[#This Row],[Sale Status	]]="Open Sale",OpenPendingCases[[#This Row],[Potential Same Month]]="High"),TEXT(OpenPendingCases[[#This Row],[Request Entry Date]], "[$-en-us]mmmm"),"")</f>
        <v/>
      </c>
      <c r="AK533" s="165" t="str">
        <f>IFERROR(VALUE(SUBSTITUTE(OpenPendingCases[[#This Row],[Price]]," AED","")),"")</f>
        <v/>
      </c>
      <c r="AL533" s="165" t="str">
        <f>IFERROR(VALUE(LEFT(OpenPendingCases[[#This Row],[Price]],FIND(" ",OpenPendingCases[[#This Row],[Price]])-1)),"")</f>
        <v/>
      </c>
      <c r="AM533" s="165" t="str">
        <f>IFERROR(VALUE(_xlfn.TEXTBEFORE(OpenPendingCases[[#This Row],[Price]]," AED")),"")</f>
        <v/>
      </c>
      <c r="AN533" s="165"/>
    </row>
    <row r="534" spans="3:40" ht="18" hidden="1" x14ac:dyDescent="0.35">
      <c r="C534" s="134"/>
      <c r="D534" s="137" t="str">
        <f>IF($U534="Open", IF(MAX($D$4:D533)+1=0, "", MAX($D$4:D533)+1), "")</f>
        <v/>
      </c>
      <c r="E534" s="137" t="str">
        <f>IF($U534="Pending Allocation", IF(MAX($E$4:E533)+1=0, "", MAX($E$4:E533)+1), "")</f>
        <v/>
      </c>
      <c r="F534" s="137"/>
      <c r="G534" s="137"/>
      <c r="H534" s="150"/>
      <c r="I534" s="150"/>
      <c r="J534" s="68" t="str">
        <f>IF(OpenPendingCases[[#This Row],[Timepiece Reference ]]="", "", IF(_xlfn.XLOOKUP(OpenPendingCases[[#This Row],[Timepiece Reference ]], Table1[[Timepiece Reference ]], Table1[CRC STOCK], "Not Found")="YES", "CRC Stock", "Boutique Stock"))</f>
        <v/>
      </c>
      <c r="K534" s="137" t="str">
        <f>IF(OpenPendingCases[[#This Row],[Timepiece Reference ]]="", "", IF(_xlfn.XLOOKUP(OpenPendingCases[[#This Row],[Timepiece Reference ]], Table1[[Timepiece Reference ]], Table1[CRC STOCK], "Not Found")="YES", "CRC Stock", "Boutique Stock"))</f>
        <v/>
      </c>
      <c r="L534" s="143"/>
      <c r="M534" s="141"/>
      <c r="N534" s="137"/>
      <c r="O534" s="134"/>
      <c r="P534" s="94" t="str">
        <f>IFERROR(VLOOKUP(TRIM(O534), Collection!$B$2:$D$1001, 2, FALSE), "")</f>
        <v/>
      </c>
      <c r="Q534" s="190" t="str">
        <f>IFERROR(VLOOKUP(TRIM(O534), Collection!$B$2:$D$1001, 3, FALSE), "")</f>
        <v/>
      </c>
      <c r="R534" s="153" t="str">
        <f t="shared" si="59"/>
        <v/>
      </c>
      <c r="S534" s="168"/>
      <c r="T534" s="183"/>
      <c r="U534" s="137"/>
      <c r="V534" s="137"/>
      <c r="W534" s="156" t="str">
        <f t="shared" si="65"/>
        <v/>
      </c>
      <c r="X534" s="157"/>
      <c r="Y534" s="158"/>
      <c r="Z534" s="158"/>
      <c r="AA534" s="137" t="str">
        <f t="shared" ca="1" si="64"/>
        <v/>
      </c>
      <c r="AB534" s="137" t="str">
        <f t="shared" ca="1" si="60"/>
        <v/>
      </c>
      <c r="AC534" s="160" t="str">
        <f t="shared" ca="1" si="61"/>
        <v/>
      </c>
      <c r="AD534" s="159" t="str">
        <f t="shared" ca="1" si="62"/>
        <v/>
      </c>
      <c r="AE534" s="161"/>
      <c r="AF534" s="161"/>
      <c r="AG534" s="161"/>
      <c r="AH534" s="137"/>
      <c r="AI534" s="164" t="str">
        <f t="shared" ref="AI534:AI567" si="66">IF(I534="","",TEXT(I534, "mmmm yyyy"))</f>
        <v/>
      </c>
      <c r="AJ534" s="164" t="str">
        <f>IF(AND(OpenPendingCases[[#This Row],[Sale Status	]]="Open Sale",OpenPendingCases[[#This Row],[Potential Same Month]]="High"),TEXT(OpenPendingCases[[#This Row],[Request Entry Date]], "[$-en-us]mmmm"),"")</f>
        <v/>
      </c>
      <c r="AK534" s="165" t="str">
        <f>IFERROR(VALUE(SUBSTITUTE(OpenPendingCases[[#This Row],[Price]]," AED","")),"")</f>
        <v/>
      </c>
      <c r="AL534" s="165" t="str">
        <f>IFERROR(VALUE(LEFT(OpenPendingCases[[#This Row],[Price]],FIND(" ",OpenPendingCases[[#This Row],[Price]])-1)),"")</f>
        <v/>
      </c>
      <c r="AM534" s="165" t="str">
        <f>IFERROR(VALUE(_xlfn.TEXTBEFORE(OpenPendingCases[[#This Row],[Price]]," AED")),"")</f>
        <v/>
      </c>
      <c r="AN534" s="165"/>
    </row>
    <row r="535" spans="3:40" ht="18" hidden="1" x14ac:dyDescent="0.35">
      <c r="C535" s="134"/>
      <c r="D535" s="137" t="str">
        <f>IF($U535="Open", IF(MAX($D$4:D534)+1=0, "", MAX($D$4:D534)+1), "")</f>
        <v/>
      </c>
      <c r="E535" s="137" t="str">
        <f>IF($U535="Pending Allocation", IF(MAX($E$4:E534)+1=0, "", MAX($E$4:E534)+1), "")</f>
        <v/>
      </c>
      <c r="F535" s="137"/>
      <c r="G535" s="137"/>
      <c r="H535" s="150"/>
      <c r="I535" s="150"/>
      <c r="J535" s="68" t="str">
        <f>IF(OpenPendingCases[[#This Row],[Timepiece Reference ]]="", "", IF(_xlfn.XLOOKUP(OpenPendingCases[[#This Row],[Timepiece Reference ]], Table1[[Timepiece Reference ]], Table1[CRC STOCK], "Not Found")="YES", "CRC Stock", "Boutique Stock"))</f>
        <v/>
      </c>
      <c r="K535" s="137" t="str">
        <f>IF(OpenPendingCases[[#This Row],[Timepiece Reference ]]="", "", IF(_xlfn.XLOOKUP(OpenPendingCases[[#This Row],[Timepiece Reference ]], Table1[[Timepiece Reference ]], Table1[CRC STOCK], "Not Found")="YES", "CRC Stock", "Boutique Stock"))</f>
        <v/>
      </c>
      <c r="L535" s="143"/>
      <c r="M535" s="141"/>
      <c r="N535" s="137"/>
      <c r="O535" s="134"/>
      <c r="P535" s="94" t="str">
        <f>IFERROR(VLOOKUP(TRIM(O535), Collection!$B$2:$D$1001, 2, FALSE), "")</f>
        <v/>
      </c>
      <c r="Q535" s="190" t="str">
        <f>IFERROR(VLOOKUP(TRIM(O535), Collection!$B$2:$D$1001, 3, FALSE), "")</f>
        <v/>
      </c>
      <c r="R535" s="153" t="str">
        <f t="shared" si="59"/>
        <v/>
      </c>
      <c r="S535" s="168"/>
      <c r="T535" s="183"/>
      <c r="U535" s="137"/>
      <c r="V535" s="137"/>
      <c r="W535" s="156" t="str">
        <f t="shared" si="65"/>
        <v/>
      </c>
      <c r="X535" s="157"/>
      <c r="Y535" s="158"/>
      <c r="Z535" s="158"/>
      <c r="AA535" s="137" t="str">
        <f t="shared" ca="1" si="64"/>
        <v/>
      </c>
      <c r="AB535" s="137" t="str">
        <f t="shared" ca="1" si="60"/>
        <v/>
      </c>
      <c r="AC535" s="160" t="str">
        <f t="shared" ca="1" si="61"/>
        <v/>
      </c>
      <c r="AD535" s="159" t="str">
        <f t="shared" ca="1" si="62"/>
        <v/>
      </c>
      <c r="AE535" s="161"/>
      <c r="AF535" s="161"/>
      <c r="AG535" s="161"/>
      <c r="AH535" s="137"/>
      <c r="AI535" s="164" t="str">
        <f t="shared" si="66"/>
        <v/>
      </c>
      <c r="AJ535" s="164" t="str">
        <f>IF(AND(OpenPendingCases[[#This Row],[Sale Status	]]="Open Sale",OpenPendingCases[[#This Row],[Potential Same Month]]="High"),TEXT(OpenPendingCases[[#This Row],[Request Entry Date]], "[$-en-us]mmmm"),"")</f>
        <v/>
      </c>
      <c r="AK535" s="165" t="str">
        <f>IFERROR(VALUE(SUBSTITUTE(OpenPendingCases[[#This Row],[Price]]," AED","")),"")</f>
        <v/>
      </c>
      <c r="AL535" s="165" t="str">
        <f>IFERROR(VALUE(LEFT(OpenPendingCases[[#This Row],[Price]],FIND(" ",OpenPendingCases[[#This Row],[Price]])-1)),"")</f>
        <v/>
      </c>
      <c r="AM535" s="165" t="str">
        <f>IFERROR(VALUE(_xlfn.TEXTBEFORE(OpenPendingCases[[#This Row],[Price]]," AED")),"")</f>
        <v/>
      </c>
      <c r="AN535" s="165"/>
    </row>
    <row r="536" spans="3:40" ht="18" hidden="1" x14ac:dyDescent="0.35">
      <c r="C536" s="134"/>
      <c r="D536" s="137" t="str">
        <f>IF($U536="Open", IF(MAX($D$4:D535)+1=0, "", MAX($D$4:D535)+1), "")</f>
        <v/>
      </c>
      <c r="E536" s="137" t="str">
        <f>IF($U536="Pending Allocation", IF(MAX($E$4:E535)+1=0, "", MAX($E$4:E535)+1), "")</f>
        <v/>
      </c>
      <c r="F536" s="137"/>
      <c r="G536" s="137"/>
      <c r="H536" s="150"/>
      <c r="I536" s="150"/>
      <c r="J536" s="68" t="str">
        <f>IF(OpenPendingCases[[#This Row],[Timepiece Reference ]]="", "", IF(_xlfn.XLOOKUP(OpenPendingCases[[#This Row],[Timepiece Reference ]], Table1[[Timepiece Reference ]], Table1[CRC STOCK], "Not Found")="YES", "CRC Stock", "Boutique Stock"))</f>
        <v/>
      </c>
      <c r="K536" s="137" t="str">
        <f>IF(OpenPendingCases[[#This Row],[Timepiece Reference ]]="", "", IF(_xlfn.XLOOKUP(OpenPendingCases[[#This Row],[Timepiece Reference ]], Table1[[Timepiece Reference ]], Table1[CRC STOCK], "Not Found")="YES", "CRC Stock", "Boutique Stock"))</f>
        <v/>
      </c>
      <c r="L536" s="143"/>
      <c r="M536" s="141"/>
      <c r="N536" s="137"/>
      <c r="O536" s="134"/>
      <c r="P536" s="94" t="str">
        <f>IFERROR(VLOOKUP(TRIM(O536), Collection!$B$2:$D$1001, 2, FALSE), "")</f>
        <v/>
      </c>
      <c r="Q536" s="190" t="str">
        <f>IFERROR(VLOOKUP(TRIM(O536), Collection!$B$2:$D$1001, 3, FALSE), "")</f>
        <v/>
      </c>
      <c r="R536" s="153" t="str">
        <f t="shared" si="59"/>
        <v/>
      </c>
      <c r="S536" s="168"/>
      <c r="T536" s="183"/>
      <c r="U536" s="137"/>
      <c r="V536" s="137"/>
      <c r="W536" s="156" t="str">
        <f t="shared" si="65"/>
        <v/>
      </c>
      <c r="X536" s="157"/>
      <c r="Y536" s="158"/>
      <c r="Z536" s="158"/>
      <c r="AA536" s="137" t="str">
        <f t="shared" ca="1" si="64"/>
        <v/>
      </c>
      <c r="AB536" s="137" t="str">
        <f t="shared" ca="1" si="60"/>
        <v/>
      </c>
      <c r="AC536" s="160" t="str">
        <f t="shared" ca="1" si="61"/>
        <v/>
      </c>
      <c r="AD536" s="159" t="str">
        <f t="shared" ca="1" si="62"/>
        <v/>
      </c>
      <c r="AE536" s="161"/>
      <c r="AF536" s="161"/>
      <c r="AG536" s="161"/>
      <c r="AH536" s="137"/>
      <c r="AI536" s="164" t="str">
        <f t="shared" si="66"/>
        <v/>
      </c>
      <c r="AJ536" s="164" t="str">
        <f>IF(AND(OpenPendingCases[[#This Row],[Sale Status	]]="Open Sale",OpenPendingCases[[#This Row],[Potential Same Month]]="High"),TEXT(OpenPendingCases[[#This Row],[Request Entry Date]], "[$-en-us]mmmm"),"")</f>
        <v/>
      </c>
      <c r="AK536" s="165" t="str">
        <f>IFERROR(VALUE(SUBSTITUTE(OpenPendingCases[[#This Row],[Price]]," AED","")),"")</f>
        <v/>
      </c>
      <c r="AL536" s="165" t="str">
        <f>IFERROR(VALUE(LEFT(OpenPendingCases[[#This Row],[Price]],FIND(" ",OpenPendingCases[[#This Row],[Price]])-1)),"")</f>
        <v/>
      </c>
      <c r="AM536" s="165" t="str">
        <f>IFERROR(VALUE(_xlfn.TEXTBEFORE(OpenPendingCases[[#This Row],[Price]]," AED")),"")</f>
        <v/>
      </c>
      <c r="AN536" s="165"/>
    </row>
    <row r="537" spans="3:40" ht="18" hidden="1" x14ac:dyDescent="0.35">
      <c r="C537" s="134"/>
      <c r="D537" s="137" t="str">
        <f>IF($U537="Open", IF(MAX($D$4:D536)+1=0, "", MAX($D$4:D536)+1), "")</f>
        <v/>
      </c>
      <c r="E537" s="137" t="str">
        <f>IF($U537="Pending Allocation", IF(MAX($E$4:E536)+1=0, "", MAX($E$4:E536)+1), "")</f>
        <v/>
      </c>
      <c r="F537" s="137"/>
      <c r="G537" s="137"/>
      <c r="H537" s="150"/>
      <c r="I537" s="150"/>
      <c r="J537" s="68" t="str">
        <f>IF(OpenPendingCases[[#This Row],[Timepiece Reference ]]="", "", IF(_xlfn.XLOOKUP(OpenPendingCases[[#This Row],[Timepiece Reference ]], Table1[[Timepiece Reference ]], Table1[CRC STOCK], "Not Found")="YES", "CRC Stock", "Boutique Stock"))</f>
        <v/>
      </c>
      <c r="K537" s="137" t="str">
        <f>IF(OpenPendingCases[[#This Row],[Timepiece Reference ]]="", "", IF(_xlfn.XLOOKUP(OpenPendingCases[[#This Row],[Timepiece Reference ]], Table1[[Timepiece Reference ]], Table1[CRC STOCK], "Not Found")="YES", "CRC Stock", "Boutique Stock"))</f>
        <v/>
      </c>
      <c r="L537" s="143"/>
      <c r="M537" s="141"/>
      <c r="N537" s="137"/>
      <c r="O537" s="134"/>
      <c r="P537" s="94" t="str">
        <f>IFERROR(VLOOKUP(TRIM(O537), Collection!$B$2:$D$1001, 2, FALSE), "")</f>
        <v/>
      </c>
      <c r="Q537" s="190" t="str">
        <f>IFERROR(VLOOKUP(TRIM(O537), Collection!$B$2:$D$1001, 3, FALSE), "")</f>
        <v/>
      </c>
      <c r="R537" s="153" t="str">
        <f t="shared" si="59"/>
        <v/>
      </c>
      <c r="S537" s="168"/>
      <c r="T537" s="183"/>
      <c r="U537" s="137"/>
      <c r="V537" s="137"/>
      <c r="W537" s="156" t="str">
        <f t="shared" si="65"/>
        <v/>
      </c>
      <c r="X537" s="157"/>
      <c r="Y537" s="158"/>
      <c r="Z537" s="158"/>
      <c r="AA537" s="137" t="str">
        <f t="shared" ca="1" si="64"/>
        <v/>
      </c>
      <c r="AB537" s="137" t="str">
        <f t="shared" ca="1" si="60"/>
        <v/>
      </c>
      <c r="AC537" s="160" t="str">
        <f t="shared" ca="1" si="61"/>
        <v/>
      </c>
      <c r="AD537" s="159" t="str">
        <f t="shared" ca="1" si="62"/>
        <v/>
      </c>
      <c r="AE537" s="161"/>
      <c r="AF537" s="161"/>
      <c r="AG537" s="161"/>
      <c r="AH537" s="137"/>
      <c r="AI537" s="164" t="str">
        <f t="shared" si="66"/>
        <v/>
      </c>
      <c r="AJ537" s="164" t="str">
        <f>IF(AND(OpenPendingCases[[#This Row],[Sale Status	]]="Open Sale",OpenPendingCases[[#This Row],[Potential Same Month]]="High"),TEXT(OpenPendingCases[[#This Row],[Request Entry Date]], "[$-en-us]mmmm"),"")</f>
        <v/>
      </c>
      <c r="AK537" s="165" t="str">
        <f>IFERROR(VALUE(SUBSTITUTE(OpenPendingCases[[#This Row],[Price]]," AED","")),"")</f>
        <v/>
      </c>
      <c r="AL537" s="165" t="str">
        <f>IFERROR(VALUE(LEFT(OpenPendingCases[[#This Row],[Price]],FIND(" ",OpenPendingCases[[#This Row],[Price]])-1)),"")</f>
        <v/>
      </c>
      <c r="AM537" s="165" t="str">
        <f>IFERROR(VALUE(_xlfn.TEXTBEFORE(OpenPendingCases[[#This Row],[Price]]," AED")),"")</f>
        <v/>
      </c>
      <c r="AN537" s="165"/>
    </row>
    <row r="538" spans="3:40" ht="18" hidden="1" x14ac:dyDescent="0.35">
      <c r="C538" s="134"/>
      <c r="D538" s="137" t="str">
        <f>IF($U538="Open", IF(MAX($D$4:D537)+1=0, "", MAX($D$4:D537)+1), "")</f>
        <v/>
      </c>
      <c r="E538" s="137" t="str">
        <f>IF($U538="Pending Allocation", IF(MAX($E$4:E537)+1=0, "", MAX($E$4:E537)+1), "")</f>
        <v/>
      </c>
      <c r="F538" s="137"/>
      <c r="G538" s="137"/>
      <c r="H538" s="150"/>
      <c r="I538" s="150"/>
      <c r="J538" s="68" t="str">
        <f>IF(OpenPendingCases[[#This Row],[Timepiece Reference ]]="", "", IF(_xlfn.XLOOKUP(OpenPendingCases[[#This Row],[Timepiece Reference ]], Table1[[Timepiece Reference ]], Table1[CRC STOCK], "Not Found")="YES", "CRC Stock", "Boutique Stock"))</f>
        <v/>
      </c>
      <c r="K538" s="137" t="str">
        <f>IF(OpenPendingCases[[#This Row],[Timepiece Reference ]]="", "", IF(_xlfn.XLOOKUP(OpenPendingCases[[#This Row],[Timepiece Reference ]], Table1[[Timepiece Reference ]], Table1[CRC STOCK], "Not Found")="YES", "CRC Stock", "Boutique Stock"))</f>
        <v/>
      </c>
      <c r="L538" s="143"/>
      <c r="M538" s="141"/>
      <c r="N538" s="137"/>
      <c r="O538" s="134"/>
      <c r="P538" s="94" t="str">
        <f>IFERROR(VLOOKUP(TRIM(O538), Collection!$B$2:$D$1001, 2, FALSE), "")</f>
        <v/>
      </c>
      <c r="Q538" s="190" t="str">
        <f>IFERROR(VLOOKUP(TRIM(O538), Collection!$B$2:$D$1001, 3, FALSE), "")</f>
        <v/>
      </c>
      <c r="R538" s="153" t="str">
        <f t="shared" si="59"/>
        <v/>
      </c>
      <c r="S538" s="168"/>
      <c r="T538" s="183"/>
      <c r="U538" s="137"/>
      <c r="V538" s="137"/>
      <c r="W538" s="156" t="str">
        <f t="shared" si="65"/>
        <v/>
      </c>
      <c r="X538" s="157"/>
      <c r="Y538" s="158"/>
      <c r="Z538" s="158"/>
      <c r="AA538" s="137" t="str">
        <f t="shared" ca="1" si="64"/>
        <v/>
      </c>
      <c r="AB538" s="137" t="str">
        <f t="shared" ca="1" si="60"/>
        <v/>
      </c>
      <c r="AC538" s="160" t="str">
        <f t="shared" ca="1" si="61"/>
        <v/>
      </c>
      <c r="AD538" s="159" t="str">
        <f t="shared" ca="1" si="62"/>
        <v/>
      </c>
      <c r="AE538" s="161"/>
      <c r="AF538" s="161"/>
      <c r="AG538" s="161"/>
      <c r="AH538" s="137"/>
      <c r="AI538" s="164" t="str">
        <f t="shared" si="66"/>
        <v/>
      </c>
      <c r="AJ538" s="164" t="str">
        <f>IF(AND(OpenPendingCases[[#This Row],[Sale Status	]]="Open Sale",OpenPendingCases[[#This Row],[Potential Same Month]]="High"),TEXT(OpenPendingCases[[#This Row],[Request Entry Date]], "[$-en-us]mmmm"),"")</f>
        <v/>
      </c>
      <c r="AK538" s="165" t="str">
        <f>IFERROR(VALUE(SUBSTITUTE(OpenPendingCases[[#This Row],[Price]]," AED","")),"")</f>
        <v/>
      </c>
      <c r="AL538" s="165" t="str">
        <f>IFERROR(VALUE(LEFT(OpenPendingCases[[#This Row],[Price]],FIND(" ",OpenPendingCases[[#This Row],[Price]])-1)),"")</f>
        <v/>
      </c>
      <c r="AM538" s="165" t="str">
        <f>IFERROR(VALUE(_xlfn.TEXTBEFORE(OpenPendingCases[[#This Row],[Price]]," AED")),"")</f>
        <v/>
      </c>
      <c r="AN538" s="165"/>
    </row>
    <row r="539" spans="3:40" ht="18" hidden="1" x14ac:dyDescent="0.35">
      <c r="C539" s="134"/>
      <c r="D539" s="137" t="str">
        <f>IF($U539="Open", IF(MAX($D$4:D538)+1=0, "", MAX($D$4:D538)+1), "")</f>
        <v/>
      </c>
      <c r="E539" s="137" t="str">
        <f>IF($U539="Pending Allocation", IF(MAX($E$4:E538)+1=0, "", MAX($E$4:E538)+1), "")</f>
        <v/>
      </c>
      <c r="F539" s="137"/>
      <c r="G539" s="137"/>
      <c r="H539" s="150"/>
      <c r="I539" s="150"/>
      <c r="J539" s="68" t="str">
        <f>IF(OpenPendingCases[[#This Row],[Timepiece Reference ]]="", "", IF(_xlfn.XLOOKUP(OpenPendingCases[[#This Row],[Timepiece Reference ]], Table1[[Timepiece Reference ]], Table1[CRC STOCK], "Not Found")="YES", "CRC Stock", "Boutique Stock"))</f>
        <v/>
      </c>
      <c r="K539" s="137" t="str">
        <f>IF(OpenPendingCases[[#This Row],[Timepiece Reference ]]="", "", IF(_xlfn.XLOOKUP(OpenPendingCases[[#This Row],[Timepiece Reference ]], Table1[[Timepiece Reference ]], Table1[CRC STOCK], "Not Found")="YES", "CRC Stock", "Boutique Stock"))</f>
        <v/>
      </c>
      <c r="L539" s="143"/>
      <c r="M539" s="141"/>
      <c r="N539" s="137"/>
      <c r="O539" s="134"/>
      <c r="P539" s="94" t="str">
        <f>IFERROR(VLOOKUP(TRIM(O539), Collection!$B$2:$D$1001, 2, FALSE), "")</f>
        <v/>
      </c>
      <c r="Q539" s="190" t="str">
        <f>IFERROR(VLOOKUP(TRIM(O539), Collection!$B$2:$D$1001, 3, FALSE), "")</f>
        <v/>
      </c>
      <c r="R539" s="153" t="str">
        <f t="shared" si="59"/>
        <v/>
      </c>
      <c r="S539" s="168"/>
      <c r="T539" s="183"/>
      <c r="U539" s="137"/>
      <c r="V539" s="137"/>
      <c r="W539" s="156" t="str">
        <f t="shared" si="65"/>
        <v/>
      </c>
      <c r="X539" s="157"/>
      <c r="Y539" s="158"/>
      <c r="Z539" s="158"/>
      <c r="AA539" s="137" t="str">
        <f t="shared" ca="1" si="64"/>
        <v/>
      </c>
      <c r="AB539" s="137" t="str">
        <f t="shared" ca="1" si="60"/>
        <v/>
      </c>
      <c r="AC539" s="160" t="str">
        <f t="shared" ca="1" si="61"/>
        <v/>
      </c>
      <c r="AD539" s="159" t="str">
        <f t="shared" ca="1" si="62"/>
        <v/>
      </c>
      <c r="AE539" s="161"/>
      <c r="AF539" s="161"/>
      <c r="AG539" s="161"/>
      <c r="AH539" s="137"/>
      <c r="AI539" s="164" t="str">
        <f t="shared" si="66"/>
        <v/>
      </c>
      <c r="AJ539" s="164" t="str">
        <f>IF(AND(OpenPendingCases[[#This Row],[Sale Status	]]="Open Sale",OpenPendingCases[[#This Row],[Potential Same Month]]="High"),TEXT(OpenPendingCases[[#This Row],[Request Entry Date]], "[$-en-us]mmmm"),"")</f>
        <v/>
      </c>
      <c r="AK539" s="165" t="str">
        <f>IFERROR(VALUE(SUBSTITUTE(OpenPendingCases[[#This Row],[Price]]," AED","")),"")</f>
        <v/>
      </c>
      <c r="AL539" s="165" t="str">
        <f>IFERROR(VALUE(LEFT(OpenPendingCases[[#This Row],[Price]],FIND(" ",OpenPendingCases[[#This Row],[Price]])-1)),"")</f>
        <v/>
      </c>
      <c r="AM539" s="165" t="str">
        <f>IFERROR(VALUE(_xlfn.TEXTBEFORE(OpenPendingCases[[#This Row],[Price]]," AED")),"")</f>
        <v/>
      </c>
      <c r="AN539" s="165"/>
    </row>
    <row r="540" spans="3:40" ht="18" hidden="1" x14ac:dyDescent="0.3">
      <c r="C540" s="136"/>
      <c r="D540" s="138" t="str">
        <f>IF($U22="Open", IF(MAX($D$4:D539)+1=0, "", MAX($D$4:D539)+1), "")</f>
        <v/>
      </c>
      <c r="E540" s="138" t="str">
        <f>IF($U22="Pending Allocation", IF(MAX($E$4:E539)+1=0, "", MAX($E$4:E539)+1), "")</f>
        <v/>
      </c>
      <c r="F540" s="137"/>
      <c r="G540" s="137"/>
      <c r="H540" s="150"/>
      <c r="I540" s="150"/>
      <c r="J540" s="151"/>
      <c r="K540" s="137" t="str">
        <f>IF(OpenPendingCases[[#This Row],[Timepiece Reference ]]="", "", IF(_xlfn.XLOOKUP(OpenPendingCases[[#This Row],[Timepiece Reference ]], Table1[[Timepiece Reference ]], Table1[CRC STOCK], "Not Found")="YES", "CRC Stock", "Boutique Stock"))</f>
        <v/>
      </c>
      <c r="L540" s="143"/>
      <c r="M540" s="141"/>
      <c r="N540" s="137"/>
      <c r="O540" s="134"/>
      <c r="P540" s="94"/>
      <c r="Q540" s="184"/>
      <c r="R540" s="153"/>
      <c r="S540" s="168"/>
      <c r="T540" s="183"/>
      <c r="U540" s="137"/>
      <c r="V540" s="137"/>
      <c r="W540" s="167"/>
      <c r="X540" s="157"/>
      <c r="Y540" s="158"/>
      <c r="Z540" s="158"/>
      <c r="AA540" s="137"/>
      <c r="AB540" s="137"/>
      <c r="AC540" s="160"/>
      <c r="AD540" s="159"/>
      <c r="AE540" s="161"/>
      <c r="AF540" s="178"/>
      <c r="AG540" s="178"/>
      <c r="AH540" s="138"/>
      <c r="AI540" s="164" t="str">
        <f t="shared" si="66"/>
        <v/>
      </c>
      <c r="AJ540" s="164" t="str">
        <f>IF(AND(OpenPendingCases[[#This Row],[Sale Status	]]="Open Sale",OpenPendingCases[[#This Row],[Potential Same Month]]="High"),TEXT(OpenPendingCases[[#This Row],[Request Entry Date]], "[$-en-us]mmmm"),"")</f>
        <v/>
      </c>
      <c r="AK540" s="165" t="str">
        <f>IFERROR(VALUE(SUBSTITUTE(OpenPendingCases[[#This Row],[Price]]," AED","")),"")</f>
        <v/>
      </c>
      <c r="AL540" s="165" t="str">
        <f>IFERROR(VALUE(LEFT(OpenPendingCases[[#This Row],[Price]],FIND(" ",OpenPendingCases[[#This Row],[Price]])-1)),"")</f>
        <v/>
      </c>
      <c r="AM540" s="165" t="str">
        <f>IFERROR(VALUE(_xlfn.TEXTBEFORE(OpenPendingCases[[#This Row],[Price]]," AED")),"")</f>
        <v/>
      </c>
      <c r="AN540" s="165"/>
    </row>
    <row r="541" spans="3:40" ht="18" hidden="1" x14ac:dyDescent="0.3">
      <c r="C541" s="136"/>
      <c r="D541" s="138" t="str">
        <f>IF($U541="Open", IF(MAX($D$4:D540)+1=0, "", MAX($D$4:D540)+1), "")</f>
        <v/>
      </c>
      <c r="E541" s="138" t="str">
        <f>IF($U541="Pending Allocation", IF(MAX($E$4:E540)+1=0, "", MAX($E$4:E540)+1), "")</f>
        <v/>
      </c>
      <c r="F541" s="134"/>
      <c r="G541" s="138"/>
      <c r="H541" s="171"/>
      <c r="I541" s="150"/>
      <c r="J541" s="172"/>
      <c r="K541" s="138" t="str">
        <f>IF(OpenPendingCases[[#This Row],[Timepiece Reference ]]="", "", IF(_xlfn.XLOOKUP(OpenPendingCases[[#This Row],[Timepiece Reference ]], Table1[[Timepiece Reference ]], Table1[CRC STOCK], "Not Found")="YES", "CRC Stock", "Boutique Stock"))</f>
        <v/>
      </c>
      <c r="L541" s="143"/>
      <c r="M541" s="142"/>
      <c r="N541" s="137"/>
      <c r="O541" s="134"/>
      <c r="P541" s="95"/>
      <c r="Q541" s="152"/>
      <c r="R541" s="173"/>
      <c r="S541" s="174"/>
      <c r="T541" s="185"/>
      <c r="U541" s="137"/>
      <c r="V541" s="138"/>
      <c r="W541" s="186"/>
      <c r="X541" s="157"/>
      <c r="Y541" s="175"/>
      <c r="Z541" s="175"/>
      <c r="AA541" s="138"/>
      <c r="AB541" s="138"/>
      <c r="AC541" s="176"/>
      <c r="AD541" s="177"/>
      <c r="AE541" s="178"/>
      <c r="AF541" s="178"/>
      <c r="AG541" s="178"/>
      <c r="AH541" s="138"/>
      <c r="AI541" s="164" t="str">
        <f t="shared" si="66"/>
        <v/>
      </c>
      <c r="AJ541" s="164" t="str">
        <f>IF(AND(OpenPendingCases[[#This Row],[Sale Status	]]="Open Sale",OpenPendingCases[[#This Row],[Potential Same Month]]="High"),TEXT(OpenPendingCases[[#This Row],[Request Entry Date]], "[$-en-us]mmmm"),"")</f>
        <v/>
      </c>
      <c r="AK541" s="165" t="str">
        <f>IFERROR(VALUE(SUBSTITUTE(OpenPendingCases[[#This Row],[Price]]," AED","")),"")</f>
        <v/>
      </c>
      <c r="AL541" s="165" t="str">
        <f>IFERROR(VALUE(LEFT(OpenPendingCases[[#This Row],[Price]],FIND(" ",OpenPendingCases[[#This Row],[Price]])-1)),"")</f>
        <v/>
      </c>
      <c r="AM541" s="165" t="str">
        <f>IFERROR(VALUE(_xlfn.TEXTBEFORE(OpenPendingCases[[#This Row],[Price]]," AED")),"")</f>
        <v/>
      </c>
      <c r="AN541" s="165"/>
    </row>
    <row r="542" spans="3:40" ht="18" hidden="1" x14ac:dyDescent="0.3">
      <c r="C542" s="136"/>
      <c r="D542" s="138" t="str">
        <f>IF($U542="Open", IF(MAX($D$4:D541)+1=0, "", MAX($D$4:D541)+1), "")</f>
        <v/>
      </c>
      <c r="E542" s="138" t="str">
        <f>IF($U542="Pending Allocation", IF(MAX($E$4:E541)+1=0, "", MAX($E$4:E541)+1), "")</f>
        <v/>
      </c>
      <c r="F542" s="138"/>
      <c r="G542" s="138"/>
      <c r="H542" s="171"/>
      <c r="I542" s="171"/>
      <c r="J542" s="172" t="str">
        <f>IF(OpenPendingCases[[#This Row],[Timepiece Reference ]]="", "", IF(_xlfn.XLOOKUP(OpenPendingCases[[#This Row],[Timepiece Reference ]], Table1[[Timepiece Reference ]], Table1[CRC STOCK], "Not Found")="YES", "CRC Stock", "Boutique Stock"))</f>
        <v/>
      </c>
      <c r="K542" s="138" t="str">
        <f>IF(OpenPendingCases[[#This Row],[Timepiece Reference ]]="", "", IF(_xlfn.XLOOKUP(OpenPendingCases[[#This Row],[Timepiece Reference ]], Table1[[Timepiece Reference ]], Table1[CRC STOCK], "Not Found")="YES", "CRC Stock", "Boutique Stock"))</f>
        <v/>
      </c>
      <c r="L542" s="146"/>
      <c r="M542" s="142"/>
      <c r="N542" s="138"/>
      <c r="O542" s="136"/>
      <c r="P542" s="95" t="str">
        <f>IFERROR(VLOOKUP(TRIM(O542), Collection!$B$2:$D$1001, 2, FALSE), "")</f>
        <v/>
      </c>
      <c r="Q542" s="187" t="str">
        <f>IFERROR(VLOOKUP(TRIM(O542), Collection!$B$2:$D$1001, 3, FALSE), "")</f>
        <v/>
      </c>
      <c r="R542" s="173" t="str">
        <f t="shared" ref="R542:R550" si="67">IFERROR(VALUE(SUBSTITUTE(SUBSTITUTE(Q542, "Price", ""), "AED", "")), "")</f>
        <v/>
      </c>
      <c r="S542" s="174"/>
      <c r="T542" s="185"/>
      <c r="U542" s="138"/>
      <c r="V542" s="138"/>
      <c r="W542" s="186" t="str">
        <f t="shared" ref="W542:W550" si="68" xml:space="preserve"> IF(Z542 = "",
     "",
     TEXT(Z542, "mmmm"))</f>
        <v/>
      </c>
      <c r="X542" s="188"/>
      <c r="Y542" s="175"/>
      <c r="Z542" s="175"/>
      <c r="AA542" s="138" t="str">
        <f t="shared" ref="AA542:AA550" ca="1" si="69">IF(H542="", "", IF(U542="Open Sale", IF(TODAY()-H542=0, "0 Days", TEXT(TODAY()-H542, "0") &amp; " Days"), IF(U542="Closed Sale", AA542, "")))</f>
        <v/>
      </c>
      <c r="AB542" s="138" t="str">
        <f t="shared" ref="AB542:AB550" ca="1" si="70">IF(H542="", "", IF(OR(U542="Pending", U542="Pending Allocation"), CONCATENATE(TODAY()-H542, " Days"), IF(U542="Closed", "", "")))</f>
        <v/>
      </c>
      <c r="AC542" s="176" t="str">
        <f t="shared" ref="AC542:AC550" ca="1" si="71">IF(U542="Pending Allocation", IF(I542="", "", TODAY()-I542), "")</f>
        <v/>
      </c>
      <c r="AD542" s="177" t="str">
        <f t="shared" ref="AD542:AD550" ca="1" si="72">IF(U542="Open Sale", TEXT(TODAY()-I542, "0"),
   IF(U542="Pending", "",
      IF(U542="Closed Sale", "", "")))</f>
        <v/>
      </c>
      <c r="AE542" s="178"/>
      <c r="AF542" s="178"/>
      <c r="AG542" s="178"/>
      <c r="AH542" s="138"/>
      <c r="AI542" s="164" t="str">
        <f t="shared" si="66"/>
        <v/>
      </c>
      <c r="AJ542" s="164" t="str">
        <f>IF(AND(OpenPendingCases[[#This Row],[Sale Status	]]="Open Sale",OpenPendingCases[[#This Row],[Potential Same Month]]="High"),TEXT(OpenPendingCases[[#This Row],[Request Entry Date]], "[$-en-us]mmmm"),"")</f>
        <v/>
      </c>
      <c r="AK542" s="165" t="str">
        <f>IFERROR(VALUE(SUBSTITUTE(OpenPendingCases[[#This Row],[Price]]," AED","")),"")</f>
        <v/>
      </c>
      <c r="AL542" s="165" t="str">
        <f>IFERROR(VALUE(LEFT(OpenPendingCases[[#This Row],[Price]],FIND(" ",OpenPendingCases[[#This Row],[Price]])-1)),"")</f>
        <v/>
      </c>
      <c r="AM542" s="165" t="str">
        <f>IFERROR(VALUE(_xlfn.TEXTBEFORE(OpenPendingCases[[#This Row],[Price]]," AED")),"")</f>
        <v/>
      </c>
      <c r="AN542" s="165"/>
    </row>
    <row r="543" spans="3:40" ht="18" hidden="1" x14ac:dyDescent="0.3">
      <c r="C543" s="136"/>
      <c r="D543" s="138" t="str">
        <f>IF($U543="Open", IF(MAX($D$4:D542)+1=0, "", MAX($D$4:D542)+1), "")</f>
        <v/>
      </c>
      <c r="E543" s="138" t="str">
        <f>IF($U543="Pending Allocation", IF(MAX($E$4:E542)+1=0, "", MAX($E$4:E542)+1), "")</f>
        <v/>
      </c>
      <c r="F543" s="138"/>
      <c r="G543" s="138"/>
      <c r="H543" s="171"/>
      <c r="I543" s="171"/>
      <c r="J543" s="172" t="str">
        <f>IF(OpenPendingCases[[#This Row],[Timepiece Reference ]]="", "", IF(_xlfn.XLOOKUP(OpenPendingCases[[#This Row],[Timepiece Reference ]], Table1[[Timepiece Reference ]], Table1[CRC STOCK], "Not Found")="YES", "CRC Stock", "Boutique Stock"))</f>
        <v/>
      </c>
      <c r="K543" s="138" t="str">
        <f>IF(OpenPendingCases[[#This Row],[Timepiece Reference ]]="", "", IF(_xlfn.XLOOKUP(OpenPendingCases[[#This Row],[Timepiece Reference ]], Table1[[Timepiece Reference ]], Table1[CRC STOCK], "Not Found")="YES", "CRC Stock", "Boutique Stock"))</f>
        <v/>
      </c>
      <c r="L543" s="146"/>
      <c r="M543" s="142"/>
      <c r="N543" s="138"/>
      <c r="O543" s="136"/>
      <c r="P543" s="138" t="str">
        <f>IFERROR(VLOOKUP(TRIM(O543), Collection!$B$2:$D$1001, 2, FALSE), "")</f>
        <v/>
      </c>
      <c r="Q543" s="187" t="str">
        <f>IFERROR(VLOOKUP(TRIM(O543), Collection!$B$2:$D$1001, 3, FALSE), "")</f>
        <v/>
      </c>
      <c r="R543" s="173" t="str">
        <f t="shared" si="67"/>
        <v/>
      </c>
      <c r="S543" s="174"/>
      <c r="T543" s="185"/>
      <c r="U543" s="138"/>
      <c r="V543" s="138"/>
      <c r="W543" s="186" t="str">
        <f t="shared" si="68"/>
        <v/>
      </c>
      <c r="X543" s="188"/>
      <c r="Y543" s="175"/>
      <c r="Z543" s="175"/>
      <c r="AA543" s="138" t="str">
        <f t="shared" ca="1" si="69"/>
        <v/>
      </c>
      <c r="AB543" s="138" t="str">
        <f t="shared" ca="1" si="70"/>
        <v/>
      </c>
      <c r="AC543" s="176" t="str">
        <f t="shared" ca="1" si="71"/>
        <v/>
      </c>
      <c r="AD543" s="177" t="str">
        <f t="shared" ca="1" si="72"/>
        <v/>
      </c>
      <c r="AE543" s="178"/>
      <c r="AF543" s="178"/>
      <c r="AG543" s="178"/>
      <c r="AH543" s="138"/>
      <c r="AI543" s="164" t="str">
        <f t="shared" si="66"/>
        <v/>
      </c>
      <c r="AJ543" s="164" t="str">
        <f>IF(AND(OpenPendingCases[[#This Row],[Sale Status	]]="Open Sale",OpenPendingCases[[#This Row],[Potential Same Month]]="High"),TEXT(OpenPendingCases[[#This Row],[Request Entry Date]], "[$-en-us]mmmm"),"")</f>
        <v/>
      </c>
      <c r="AK543" s="165" t="str">
        <f>IFERROR(VALUE(SUBSTITUTE(OpenPendingCases[[#This Row],[Price]]," AED","")),"")</f>
        <v/>
      </c>
      <c r="AL543" s="165" t="str">
        <f>IFERROR(VALUE(LEFT(OpenPendingCases[[#This Row],[Price]],FIND(" ",OpenPendingCases[[#This Row],[Price]])-1)),"")</f>
        <v/>
      </c>
      <c r="AM543" s="165" t="str">
        <f>IFERROR(VALUE(_xlfn.TEXTBEFORE(OpenPendingCases[[#This Row],[Price]]," AED")),"")</f>
        <v/>
      </c>
      <c r="AN543" s="165"/>
    </row>
    <row r="544" spans="3:40" ht="18" hidden="1" x14ac:dyDescent="0.3">
      <c r="C544" s="136"/>
      <c r="D544" s="138" t="str">
        <f>IF($U544="Open", IF(MAX($D$4:D543)+1=0, "", MAX($D$4:D543)+1), "")</f>
        <v/>
      </c>
      <c r="E544" s="138" t="str">
        <f>IF($U544="Pending Allocation", IF(MAX($E$4:E543)+1=0, "", MAX($E$4:E543)+1), "")</f>
        <v/>
      </c>
      <c r="F544" s="138"/>
      <c r="G544" s="138"/>
      <c r="H544" s="171"/>
      <c r="I544" s="171"/>
      <c r="J544" s="172" t="str">
        <f>IF(OpenPendingCases[[#This Row],[Timepiece Reference ]]="", "", IF(_xlfn.XLOOKUP(OpenPendingCases[[#This Row],[Timepiece Reference ]], Table1[[Timepiece Reference ]], Table1[CRC STOCK], "Not Found")="YES", "CRC Stock", "Boutique Stock"))</f>
        <v/>
      </c>
      <c r="K544" s="138" t="str">
        <f>IF(OpenPendingCases[[#This Row],[Timepiece Reference ]]="", "", IF(_xlfn.XLOOKUP(OpenPendingCases[[#This Row],[Timepiece Reference ]], Table1[[Timepiece Reference ]], Table1[CRC STOCK], "Not Found")="YES", "CRC Stock", "Boutique Stock"))</f>
        <v/>
      </c>
      <c r="L544" s="146"/>
      <c r="M544" s="142"/>
      <c r="N544" s="138"/>
      <c r="O544" s="136"/>
      <c r="P544" s="138" t="str">
        <f>IFERROR(VLOOKUP(TRIM(O544), Collection!$B$2:$D$1001, 2, FALSE), "")</f>
        <v/>
      </c>
      <c r="Q544" s="187" t="str">
        <f>IFERROR(VLOOKUP(TRIM(O544), Collection!$B$2:$D$1001, 3, FALSE), "")</f>
        <v/>
      </c>
      <c r="R544" s="173" t="str">
        <f t="shared" si="67"/>
        <v/>
      </c>
      <c r="S544" s="174"/>
      <c r="T544" s="185"/>
      <c r="U544" s="138"/>
      <c r="V544" s="138"/>
      <c r="W544" s="186" t="str">
        <f t="shared" si="68"/>
        <v/>
      </c>
      <c r="X544" s="188"/>
      <c r="Y544" s="175"/>
      <c r="Z544" s="175"/>
      <c r="AA544" s="138" t="str">
        <f t="shared" ca="1" si="69"/>
        <v/>
      </c>
      <c r="AB544" s="138" t="str">
        <f t="shared" ca="1" si="70"/>
        <v/>
      </c>
      <c r="AC544" s="176" t="str">
        <f t="shared" ca="1" si="71"/>
        <v/>
      </c>
      <c r="AD544" s="177" t="str">
        <f t="shared" ca="1" si="72"/>
        <v/>
      </c>
      <c r="AE544" s="178"/>
      <c r="AF544" s="178"/>
      <c r="AG544" s="178"/>
      <c r="AH544" s="138"/>
      <c r="AI544" s="164" t="str">
        <f t="shared" si="66"/>
        <v/>
      </c>
      <c r="AJ544" s="164" t="str">
        <f>IF(AND(OpenPendingCases[[#This Row],[Sale Status	]]="Open Sale",OpenPendingCases[[#This Row],[Potential Same Month]]="High"),TEXT(OpenPendingCases[[#This Row],[Request Entry Date]], "[$-en-us]mmmm"),"")</f>
        <v/>
      </c>
      <c r="AK544" s="165" t="str">
        <f>IFERROR(VALUE(SUBSTITUTE(OpenPendingCases[[#This Row],[Price]]," AED","")),"")</f>
        <v/>
      </c>
      <c r="AL544" s="165" t="str">
        <f>IFERROR(VALUE(LEFT(OpenPendingCases[[#This Row],[Price]],FIND(" ",OpenPendingCases[[#This Row],[Price]])-1)),"")</f>
        <v/>
      </c>
      <c r="AM544" s="165" t="str">
        <f>IFERROR(VALUE(_xlfn.TEXTBEFORE(OpenPendingCases[[#This Row],[Price]]," AED")),"")</f>
        <v/>
      </c>
      <c r="AN544" s="165"/>
    </row>
    <row r="545" spans="3:40" ht="18" hidden="1" x14ac:dyDescent="0.3">
      <c r="C545" s="136"/>
      <c r="D545" s="138" t="str">
        <f>IF($U545="Open", IF(MAX($D$4:D544)+1=0, "", MAX($D$4:D544)+1), "")</f>
        <v/>
      </c>
      <c r="E545" s="138" t="str">
        <f>IF($U545="Pending Allocation", IF(MAX($E$4:E544)+1=0, "", MAX($E$4:E544)+1), "")</f>
        <v/>
      </c>
      <c r="F545" s="138"/>
      <c r="G545" s="138"/>
      <c r="H545" s="171"/>
      <c r="I545" s="171"/>
      <c r="J545" s="172" t="str">
        <f>IF(OpenPendingCases[[#This Row],[Timepiece Reference ]]="", "", IF(_xlfn.XLOOKUP(OpenPendingCases[[#This Row],[Timepiece Reference ]], Table1[[Timepiece Reference ]], Table1[CRC STOCK], "Not Found")="YES", "CRC Stock", "Boutique Stock"))</f>
        <v/>
      </c>
      <c r="K545" s="138" t="str">
        <f>IF(OpenPendingCases[[#This Row],[Timepiece Reference ]]="", "", IF(_xlfn.XLOOKUP(OpenPendingCases[[#This Row],[Timepiece Reference ]], Table1[[Timepiece Reference ]], Table1[CRC STOCK], "Not Found")="YES", "CRC Stock", "Boutique Stock"))</f>
        <v/>
      </c>
      <c r="L545" s="146"/>
      <c r="M545" s="142"/>
      <c r="N545" s="138"/>
      <c r="O545" s="136"/>
      <c r="P545" s="138" t="str">
        <f>IFERROR(VLOOKUP(TRIM(O545), Collection!$B$2:$D$1001, 2, FALSE), "")</f>
        <v/>
      </c>
      <c r="Q545" s="187" t="str">
        <f>IFERROR(VLOOKUP(TRIM(O545), Collection!$B$2:$D$1001, 3, FALSE), "")</f>
        <v/>
      </c>
      <c r="R545" s="173" t="str">
        <f t="shared" si="67"/>
        <v/>
      </c>
      <c r="S545" s="174"/>
      <c r="T545" s="185"/>
      <c r="U545" s="138"/>
      <c r="V545" s="138"/>
      <c r="W545" s="186" t="str">
        <f t="shared" si="68"/>
        <v/>
      </c>
      <c r="X545" s="188"/>
      <c r="Y545" s="175"/>
      <c r="Z545" s="175"/>
      <c r="AA545" s="138" t="str">
        <f t="shared" ca="1" si="69"/>
        <v/>
      </c>
      <c r="AB545" s="138" t="str">
        <f t="shared" ca="1" si="70"/>
        <v/>
      </c>
      <c r="AC545" s="176" t="str">
        <f t="shared" ca="1" si="71"/>
        <v/>
      </c>
      <c r="AD545" s="177" t="str">
        <f t="shared" ca="1" si="72"/>
        <v/>
      </c>
      <c r="AE545" s="178"/>
      <c r="AF545" s="178"/>
      <c r="AG545" s="178"/>
      <c r="AH545" s="138"/>
      <c r="AI545" s="164" t="str">
        <f t="shared" si="66"/>
        <v/>
      </c>
      <c r="AJ545" s="164" t="str">
        <f>IF(AND(OpenPendingCases[[#This Row],[Sale Status	]]="Open Sale",OpenPendingCases[[#This Row],[Potential Same Month]]="High"),TEXT(OpenPendingCases[[#This Row],[Request Entry Date]], "[$-en-us]mmmm"),"")</f>
        <v/>
      </c>
      <c r="AK545" s="165" t="str">
        <f>IFERROR(VALUE(SUBSTITUTE(OpenPendingCases[[#This Row],[Price]]," AED","")),"")</f>
        <v/>
      </c>
      <c r="AL545" s="165" t="str">
        <f>IFERROR(VALUE(LEFT(OpenPendingCases[[#This Row],[Price]],FIND(" ",OpenPendingCases[[#This Row],[Price]])-1)),"")</f>
        <v/>
      </c>
      <c r="AM545" s="165" t="str">
        <f>IFERROR(VALUE(_xlfn.TEXTBEFORE(OpenPendingCases[[#This Row],[Price]]," AED")),"")</f>
        <v/>
      </c>
      <c r="AN545" s="165"/>
    </row>
    <row r="546" spans="3:40" ht="18" hidden="1" x14ac:dyDescent="0.3">
      <c r="C546" s="136"/>
      <c r="D546" s="138" t="str">
        <f>IF($U546="Open", IF(MAX($D$4:D545)+1=0, "", MAX($D$4:D545)+1), "")</f>
        <v/>
      </c>
      <c r="E546" s="138" t="str">
        <f>IF($U546="Pending Allocation", IF(MAX($E$4:E545)+1=0, "", MAX($E$4:E545)+1), "")</f>
        <v/>
      </c>
      <c r="F546" s="138"/>
      <c r="G546" s="138"/>
      <c r="H546" s="171"/>
      <c r="I546" s="171"/>
      <c r="J546" s="172" t="str">
        <f>IF(OpenPendingCases[[#This Row],[Timepiece Reference ]]="", "", IF(_xlfn.XLOOKUP(OpenPendingCases[[#This Row],[Timepiece Reference ]], Table1[[Timepiece Reference ]], Table1[CRC STOCK], "Not Found")="YES", "CRC Stock", "Boutique Stock"))</f>
        <v/>
      </c>
      <c r="K546" s="138" t="str">
        <f>IF(OpenPendingCases[[#This Row],[Timepiece Reference ]]="", "", IF(_xlfn.XLOOKUP(OpenPendingCases[[#This Row],[Timepiece Reference ]], Table1[[Timepiece Reference ]], Table1[CRC STOCK], "Not Found")="YES", "CRC Stock", "Boutique Stock"))</f>
        <v/>
      </c>
      <c r="L546" s="146"/>
      <c r="M546" s="142"/>
      <c r="N546" s="138"/>
      <c r="O546" s="136"/>
      <c r="P546" s="138" t="str">
        <f>IFERROR(VLOOKUP(TRIM(O546), Collection!$B$2:$D$1001, 2, FALSE), "")</f>
        <v/>
      </c>
      <c r="Q546" s="187" t="str">
        <f>IFERROR(VLOOKUP(TRIM(O546), Collection!$B$2:$D$1001, 3, FALSE), "")</f>
        <v/>
      </c>
      <c r="R546" s="173" t="str">
        <f t="shared" si="67"/>
        <v/>
      </c>
      <c r="S546" s="174"/>
      <c r="T546" s="185"/>
      <c r="U546" s="138"/>
      <c r="V546" s="138"/>
      <c r="W546" s="186" t="str">
        <f t="shared" si="68"/>
        <v/>
      </c>
      <c r="X546" s="188"/>
      <c r="Y546" s="175"/>
      <c r="Z546" s="175"/>
      <c r="AA546" s="138" t="str">
        <f t="shared" ca="1" si="69"/>
        <v/>
      </c>
      <c r="AB546" s="138" t="str">
        <f t="shared" ca="1" si="70"/>
        <v/>
      </c>
      <c r="AC546" s="176" t="str">
        <f t="shared" ca="1" si="71"/>
        <v/>
      </c>
      <c r="AD546" s="177" t="str">
        <f t="shared" ca="1" si="72"/>
        <v/>
      </c>
      <c r="AE546" s="178"/>
      <c r="AF546" s="178"/>
      <c r="AG546" s="178"/>
      <c r="AH546" s="138"/>
      <c r="AI546" s="164" t="str">
        <f t="shared" si="66"/>
        <v/>
      </c>
      <c r="AJ546" s="164" t="str">
        <f>IF(AND(OpenPendingCases[[#This Row],[Sale Status	]]="Open Sale",OpenPendingCases[[#This Row],[Potential Same Month]]="High"),TEXT(OpenPendingCases[[#This Row],[Request Entry Date]], "[$-en-us]mmmm"),"")</f>
        <v/>
      </c>
      <c r="AK546" s="165" t="str">
        <f>IFERROR(VALUE(SUBSTITUTE(OpenPendingCases[[#This Row],[Price]]," AED","")),"")</f>
        <v/>
      </c>
      <c r="AL546" s="165" t="str">
        <f>IFERROR(VALUE(LEFT(OpenPendingCases[[#This Row],[Price]],FIND(" ",OpenPendingCases[[#This Row],[Price]])-1)),"")</f>
        <v/>
      </c>
      <c r="AM546" s="165" t="str">
        <f>IFERROR(VALUE(_xlfn.TEXTBEFORE(OpenPendingCases[[#This Row],[Price]]," AED")),"")</f>
        <v/>
      </c>
      <c r="AN546" s="165"/>
    </row>
    <row r="547" spans="3:40" ht="18" hidden="1" x14ac:dyDescent="0.3">
      <c r="C547" s="136"/>
      <c r="D547" s="138" t="str">
        <f>IF($U547="Open", IF(MAX($D$4:D546)+1=0, "", MAX($D$4:D546)+1), "")</f>
        <v/>
      </c>
      <c r="E547" s="138" t="str">
        <f>IF($U547="Pending Allocation", IF(MAX($E$4:E546)+1=0, "", MAX($E$4:E546)+1), "")</f>
        <v/>
      </c>
      <c r="F547" s="138"/>
      <c r="G547" s="138"/>
      <c r="H547" s="171"/>
      <c r="I547" s="171"/>
      <c r="J547" s="172" t="str">
        <f>IF(OpenPendingCases[[#This Row],[Timepiece Reference ]]="", "", IF(_xlfn.XLOOKUP(OpenPendingCases[[#This Row],[Timepiece Reference ]], Table1[[Timepiece Reference ]], Table1[CRC STOCK], "Not Found")="YES", "CRC Stock", "Boutique Stock"))</f>
        <v/>
      </c>
      <c r="K547" s="138" t="str">
        <f>IF(OpenPendingCases[[#This Row],[Timepiece Reference ]]="", "", IF(_xlfn.XLOOKUP(OpenPendingCases[[#This Row],[Timepiece Reference ]], Table1[[Timepiece Reference ]], Table1[CRC STOCK], "Not Found")="YES", "CRC Stock", "Boutique Stock"))</f>
        <v/>
      </c>
      <c r="L547" s="146"/>
      <c r="M547" s="142"/>
      <c r="N547" s="138"/>
      <c r="O547" s="136"/>
      <c r="P547" s="138" t="str">
        <f>IFERROR(VLOOKUP(TRIM(O547), Collection!$B$2:$D$1001, 2, FALSE), "")</f>
        <v/>
      </c>
      <c r="Q547" s="187" t="str">
        <f>IFERROR(VLOOKUP(TRIM(O547), Collection!$B$2:$D$1001, 3, FALSE), "")</f>
        <v/>
      </c>
      <c r="R547" s="173" t="str">
        <f t="shared" si="67"/>
        <v/>
      </c>
      <c r="S547" s="174"/>
      <c r="T547" s="185"/>
      <c r="U547" s="138"/>
      <c r="V547" s="138"/>
      <c r="W547" s="186" t="str">
        <f t="shared" si="68"/>
        <v/>
      </c>
      <c r="X547" s="188"/>
      <c r="Y547" s="175"/>
      <c r="Z547" s="175"/>
      <c r="AA547" s="138" t="str">
        <f t="shared" ca="1" si="69"/>
        <v/>
      </c>
      <c r="AB547" s="138" t="str">
        <f t="shared" ca="1" si="70"/>
        <v/>
      </c>
      <c r="AC547" s="176" t="str">
        <f t="shared" ca="1" si="71"/>
        <v/>
      </c>
      <c r="AD547" s="177" t="str">
        <f t="shared" ca="1" si="72"/>
        <v/>
      </c>
      <c r="AE547" s="178"/>
      <c r="AF547" s="178"/>
      <c r="AG547" s="178"/>
      <c r="AH547" s="138"/>
      <c r="AI547" s="164" t="str">
        <f t="shared" si="66"/>
        <v/>
      </c>
      <c r="AJ547" s="164" t="str">
        <f>IF(AND(OpenPendingCases[[#This Row],[Sale Status	]]="Open Sale",OpenPendingCases[[#This Row],[Potential Same Month]]="High"),TEXT(OpenPendingCases[[#This Row],[Request Entry Date]], "[$-en-us]mmmm"),"")</f>
        <v/>
      </c>
      <c r="AK547" s="165" t="str">
        <f>IFERROR(VALUE(SUBSTITUTE(OpenPendingCases[[#This Row],[Price]]," AED","")),"")</f>
        <v/>
      </c>
      <c r="AL547" s="165" t="str">
        <f>IFERROR(VALUE(LEFT(OpenPendingCases[[#This Row],[Price]],FIND(" ",OpenPendingCases[[#This Row],[Price]])-1)),"")</f>
        <v/>
      </c>
      <c r="AM547" s="165" t="str">
        <f>IFERROR(VALUE(_xlfn.TEXTBEFORE(OpenPendingCases[[#This Row],[Price]]," AED")),"")</f>
        <v/>
      </c>
      <c r="AN547" s="165"/>
    </row>
    <row r="548" spans="3:40" ht="18" hidden="1" x14ac:dyDescent="0.3">
      <c r="C548" s="136"/>
      <c r="D548" s="138" t="str">
        <f>IF($U548="Open", IF(MAX($D$4:D547)+1=0, "", MAX($D$4:D547)+1), "")</f>
        <v/>
      </c>
      <c r="E548" s="138" t="str">
        <f>IF($U548="Pending Allocation", IF(MAX($E$4:E547)+1=0, "", MAX($E$4:E547)+1), "")</f>
        <v/>
      </c>
      <c r="F548" s="138"/>
      <c r="G548" s="138"/>
      <c r="H548" s="171"/>
      <c r="I548" s="171"/>
      <c r="J548" s="172" t="str">
        <f>IF(OpenPendingCases[[#This Row],[Timepiece Reference ]]="", "", IF(_xlfn.XLOOKUP(OpenPendingCases[[#This Row],[Timepiece Reference ]], Table1[[Timepiece Reference ]], Table1[CRC STOCK], "Not Found")="YES", "CRC Stock", "Boutique Stock"))</f>
        <v/>
      </c>
      <c r="K548" s="138" t="str">
        <f>IF(OpenPendingCases[[#This Row],[Timepiece Reference ]]="", "", IF(_xlfn.XLOOKUP(OpenPendingCases[[#This Row],[Timepiece Reference ]], Table1[[Timepiece Reference ]], Table1[CRC STOCK], "Not Found")="YES", "CRC Stock", "Boutique Stock"))</f>
        <v/>
      </c>
      <c r="L548" s="146"/>
      <c r="M548" s="142"/>
      <c r="N548" s="138"/>
      <c r="O548" s="136"/>
      <c r="P548" s="138" t="str">
        <f>IFERROR(VLOOKUP(TRIM(O548), Collection!$B$2:$D$1001, 2, FALSE), "")</f>
        <v/>
      </c>
      <c r="Q548" s="187" t="str">
        <f>IFERROR(VLOOKUP(TRIM(O548), Collection!$B$2:$D$1001, 3, FALSE), "")</f>
        <v/>
      </c>
      <c r="R548" s="173" t="str">
        <f t="shared" si="67"/>
        <v/>
      </c>
      <c r="S548" s="174"/>
      <c r="T548" s="185"/>
      <c r="U548" s="138"/>
      <c r="V548" s="138"/>
      <c r="W548" s="186" t="str">
        <f t="shared" si="68"/>
        <v/>
      </c>
      <c r="X548" s="188"/>
      <c r="Y548" s="175"/>
      <c r="Z548" s="175"/>
      <c r="AA548" s="138" t="str">
        <f t="shared" ca="1" si="69"/>
        <v/>
      </c>
      <c r="AB548" s="138" t="str">
        <f t="shared" ca="1" si="70"/>
        <v/>
      </c>
      <c r="AC548" s="176" t="str">
        <f t="shared" ca="1" si="71"/>
        <v/>
      </c>
      <c r="AD548" s="177" t="str">
        <f t="shared" ca="1" si="72"/>
        <v/>
      </c>
      <c r="AE548" s="178"/>
      <c r="AF548" s="178"/>
      <c r="AG548" s="178"/>
      <c r="AH548" s="138"/>
      <c r="AI548" s="164" t="str">
        <f t="shared" si="66"/>
        <v/>
      </c>
      <c r="AJ548" s="164" t="str">
        <f>IF(AND(OpenPendingCases[[#This Row],[Sale Status	]]="Open Sale",OpenPendingCases[[#This Row],[Potential Same Month]]="High"),TEXT(OpenPendingCases[[#This Row],[Request Entry Date]], "[$-en-us]mmmm"),"")</f>
        <v/>
      </c>
      <c r="AK548" s="165" t="str">
        <f>IFERROR(VALUE(SUBSTITUTE(OpenPendingCases[[#This Row],[Price]]," AED","")),"")</f>
        <v/>
      </c>
      <c r="AL548" s="165" t="str">
        <f>IFERROR(VALUE(LEFT(OpenPendingCases[[#This Row],[Price]],FIND(" ",OpenPendingCases[[#This Row],[Price]])-1)),"")</f>
        <v/>
      </c>
      <c r="AM548" s="165" t="str">
        <f>IFERROR(VALUE(_xlfn.TEXTBEFORE(OpenPendingCases[[#This Row],[Price]]," AED")),"")</f>
        <v/>
      </c>
      <c r="AN548" s="165"/>
    </row>
    <row r="549" spans="3:40" ht="18" hidden="1" x14ac:dyDescent="0.3">
      <c r="C549" s="136"/>
      <c r="D549" s="138" t="str">
        <f>IF($U549="Open", IF(MAX($D$4:D548)+1=0, "", MAX($D$4:D548)+1), "")</f>
        <v/>
      </c>
      <c r="E549" s="138" t="str">
        <f>IF($U549="Pending Allocation", IF(MAX($E$4:E548)+1=0, "", MAX($E$4:E548)+1), "")</f>
        <v/>
      </c>
      <c r="F549" s="138"/>
      <c r="G549" s="138"/>
      <c r="H549" s="171"/>
      <c r="I549" s="171"/>
      <c r="J549" s="172" t="str">
        <f>IF(OpenPendingCases[[#This Row],[Timepiece Reference ]]="", "", IF(_xlfn.XLOOKUP(OpenPendingCases[[#This Row],[Timepiece Reference ]], Table1[[Timepiece Reference ]], Table1[CRC STOCK], "Not Found")="YES", "CRC Stock", "Boutique Stock"))</f>
        <v/>
      </c>
      <c r="K549" s="138" t="str">
        <f>IF(OpenPendingCases[[#This Row],[Timepiece Reference ]]="", "", IF(_xlfn.XLOOKUP(OpenPendingCases[[#This Row],[Timepiece Reference ]], Table1[[Timepiece Reference ]], Table1[CRC STOCK], "Not Found")="YES", "CRC Stock", "Boutique Stock"))</f>
        <v/>
      </c>
      <c r="L549" s="146"/>
      <c r="M549" s="142"/>
      <c r="N549" s="138"/>
      <c r="O549" s="136"/>
      <c r="P549" s="138" t="str">
        <f>IFERROR(VLOOKUP(TRIM(O549), Collection!$B$2:$D$1001, 2, FALSE), "")</f>
        <v/>
      </c>
      <c r="Q549" s="187" t="str">
        <f>IFERROR(VLOOKUP(TRIM(O549), Collection!$B$2:$D$1001, 3, FALSE), "")</f>
        <v/>
      </c>
      <c r="R549" s="173" t="str">
        <f t="shared" si="67"/>
        <v/>
      </c>
      <c r="S549" s="174"/>
      <c r="T549" s="185"/>
      <c r="U549" s="138"/>
      <c r="V549" s="138"/>
      <c r="W549" s="186" t="str">
        <f t="shared" si="68"/>
        <v/>
      </c>
      <c r="X549" s="188"/>
      <c r="Y549" s="175"/>
      <c r="Z549" s="175"/>
      <c r="AA549" s="138" t="str">
        <f t="shared" ca="1" si="69"/>
        <v/>
      </c>
      <c r="AB549" s="138" t="str">
        <f t="shared" ca="1" si="70"/>
        <v/>
      </c>
      <c r="AC549" s="176" t="str">
        <f t="shared" ca="1" si="71"/>
        <v/>
      </c>
      <c r="AD549" s="177" t="str">
        <f t="shared" ca="1" si="72"/>
        <v/>
      </c>
      <c r="AE549" s="178"/>
      <c r="AF549" s="178"/>
      <c r="AG549" s="178"/>
      <c r="AH549" s="138"/>
      <c r="AI549" s="164" t="str">
        <f t="shared" si="66"/>
        <v/>
      </c>
      <c r="AJ549" s="164" t="str">
        <f>IF(AND(OpenPendingCases[[#This Row],[Sale Status	]]="Open Sale",OpenPendingCases[[#This Row],[Potential Same Month]]="High"),TEXT(OpenPendingCases[[#This Row],[Request Entry Date]], "[$-en-us]mmmm"),"")</f>
        <v/>
      </c>
      <c r="AK549" s="165" t="str">
        <f>IFERROR(VALUE(SUBSTITUTE(OpenPendingCases[[#This Row],[Price]]," AED","")),"")</f>
        <v/>
      </c>
      <c r="AL549" s="165" t="str">
        <f>IFERROR(VALUE(LEFT(OpenPendingCases[[#This Row],[Price]],FIND(" ",OpenPendingCases[[#This Row],[Price]])-1)),"")</f>
        <v/>
      </c>
      <c r="AM549" s="165" t="str">
        <f>IFERROR(VALUE(_xlfn.TEXTBEFORE(OpenPendingCases[[#This Row],[Price]]," AED")),"")</f>
        <v/>
      </c>
      <c r="AN549" s="165"/>
    </row>
    <row r="550" spans="3:40" ht="18" hidden="1" x14ac:dyDescent="0.3">
      <c r="C550" s="136"/>
      <c r="D550" s="138" t="str">
        <f>IF($U550="Open", IF(MAX($D$4:D549)+1=0, "", MAX($D$4:D549)+1), "")</f>
        <v/>
      </c>
      <c r="E550" s="138" t="str">
        <f>IF($U550="Pending Allocation", IF(MAX($E$4:E549)+1=0, "", MAX($E$4:E549)+1), "")</f>
        <v/>
      </c>
      <c r="F550" s="138"/>
      <c r="G550" s="138"/>
      <c r="H550" s="171"/>
      <c r="I550" s="171"/>
      <c r="J550" s="172" t="str">
        <f>IF(OpenPendingCases[[#This Row],[Timepiece Reference ]]="", "", IF(_xlfn.XLOOKUP(OpenPendingCases[[#This Row],[Timepiece Reference ]], Table1[[Timepiece Reference ]], Table1[CRC STOCK], "Not Found")="YES", "CRC Stock", "Boutique Stock"))</f>
        <v/>
      </c>
      <c r="K550" s="138" t="str">
        <f>IF(OpenPendingCases[[#This Row],[Timepiece Reference ]]="", "", IF(_xlfn.XLOOKUP(OpenPendingCases[[#This Row],[Timepiece Reference ]], Table1[[Timepiece Reference ]], Table1[CRC STOCK], "Not Found")="YES", "CRC Stock", "Boutique Stock"))</f>
        <v/>
      </c>
      <c r="L550" s="146"/>
      <c r="M550" s="142"/>
      <c r="N550" s="138"/>
      <c r="O550" s="136"/>
      <c r="P550" s="138" t="str">
        <f>IFERROR(VLOOKUP(TRIM(O550), Collection!$B$2:$D$1001, 2, FALSE), "")</f>
        <v/>
      </c>
      <c r="Q550" s="187" t="str">
        <f>IFERROR(VLOOKUP(TRIM(O550), Collection!$B$2:$D$1001, 3, FALSE), "")</f>
        <v/>
      </c>
      <c r="R550" s="173" t="str">
        <f t="shared" si="67"/>
        <v/>
      </c>
      <c r="S550" s="174"/>
      <c r="T550" s="185"/>
      <c r="U550" s="138"/>
      <c r="V550" s="138"/>
      <c r="W550" s="186" t="str">
        <f t="shared" si="68"/>
        <v/>
      </c>
      <c r="X550" s="188"/>
      <c r="Y550" s="175"/>
      <c r="Z550" s="175"/>
      <c r="AA550" s="138" t="str">
        <f t="shared" ca="1" si="69"/>
        <v/>
      </c>
      <c r="AB550" s="138" t="str">
        <f t="shared" ca="1" si="70"/>
        <v/>
      </c>
      <c r="AC550" s="176" t="str">
        <f t="shared" ca="1" si="71"/>
        <v/>
      </c>
      <c r="AD550" s="177" t="str">
        <f t="shared" ca="1" si="72"/>
        <v/>
      </c>
      <c r="AE550" s="178"/>
      <c r="AF550" s="178"/>
      <c r="AG550" s="178"/>
      <c r="AH550" s="138"/>
      <c r="AI550" s="164" t="str">
        <f t="shared" si="66"/>
        <v/>
      </c>
      <c r="AJ550" s="164" t="str">
        <f>IF(AND(OpenPendingCases[[#This Row],[Sale Status	]]="Open Sale",OpenPendingCases[[#This Row],[Potential Same Month]]="High"),TEXT(OpenPendingCases[[#This Row],[Request Entry Date]], "[$-en-us]mmmm"),"")</f>
        <v/>
      </c>
      <c r="AK550" s="165" t="str">
        <f>IFERROR(VALUE(SUBSTITUTE(OpenPendingCases[[#This Row],[Price]]," AED","")),"")</f>
        <v/>
      </c>
      <c r="AL550" s="165" t="str">
        <f>IFERROR(VALUE(LEFT(OpenPendingCases[[#This Row],[Price]],FIND(" ",OpenPendingCases[[#This Row],[Price]])-1)),"")</f>
        <v/>
      </c>
      <c r="AM550" s="165" t="str">
        <f>IFERROR(VALUE(_xlfn.TEXTBEFORE(OpenPendingCases[[#This Row],[Price]]," AED")),"")</f>
        <v/>
      </c>
      <c r="AN550" s="165"/>
    </row>
    <row r="551" spans="3:40" ht="18" hidden="1" x14ac:dyDescent="0.3">
      <c r="C551" s="134"/>
      <c r="D551" s="209" t="str">
        <f>IF($U551="Open", IF(MAX($D$4:D569)+1=0, "", MAX($D$4:D569)+1), "")</f>
        <v/>
      </c>
      <c r="E551" s="209" t="str">
        <f>IF($U551="Pending Allocation", IF(MAX($E$4:E569)+1=0, "", MAX($E$4:E569)+1), "")</f>
        <v/>
      </c>
      <c r="F551" s="137"/>
      <c r="G551" s="137"/>
      <c r="H551" s="150"/>
      <c r="I551" s="150"/>
      <c r="J551" s="151" t="str">
        <f>IF(OpenPendingCases[[#This Row],[Timepiece Reference ]]="", "", IF(_xlfn.XLOOKUP(OpenPendingCases[[#This Row],[Timepiece Reference ]], Table1[[Timepiece Reference ]], Table1[CRC STOCK], "Not Found")="YES", "CRC Stock", "Boutique Stock"))</f>
        <v/>
      </c>
      <c r="K551" s="137" t="str">
        <f>IF(OpenPendingCases[[#This Row],[Timepiece Reference ]]="", "", IF(_xlfn.XLOOKUP(OpenPendingCases[[#This Row],[Timepiece Reference ]], Table1[[Timepiece Reference ]], Table1[CRC STOCK], "Not Found")="YES", "CRC Stock", "Boutique Stock"))</f>
        <v/>
      </c>
      <c r="L551" s="143"/>
      <c r="M551" s="141"/>
      <c r="N551" s="137"/>
      <c r="O551" s="134"/>
      <c r="P551" s="137" t="str">
        <f>IFERROR(VLOOKUP(TRIM(O551), Collection!$B$2:$D$1001, 2, FALSE), "")</f>
        <v/>
      </c>
      <c r="Q551" s="184" t="str">
        <f>IFERROR(VLOOKUP(TRIM(O551), Collection!$B$2:$D$1001, 3, FALSE), "")</f>
        <v/>
      </c>
      <c r="R551" s="153" t="str">
        <f t="shared" ref="R551:R567" si="73">IFERROR(VALUE(SUBSTITUTE(SUBSTITUTE(Q551, "Price", ""), "AED", "")), "")</f>
        <v/>
      </c>
      <c r="S551" s="168"/>
      <c r="T551" s="183"/>
      <c r="U551" s="137"/>
      <c r="V551" s="137"/>
      <c r="W551" s="167" t="str">
        <f t="shared" ref="W551:W567" si="74" xml:space="preserve"> IF(Z551 = "",
     "",
     TEXT(Z551, "mmmm"))</f>
        <v/>
      </c>
      <c r="X551" s="157"/>
      <c r="Y551" s="158"/>
      <c r="Z551" s="158"/>
      <c r="AA551" s="137" t="str">
        <f t="shared" ref="AA551:AA567" ca="1" si="75">IF(H551="", "", IF(U551="Open Sale", IF(TODAY()-H551=0, "0 Days", TEXT(TODAY()-H551, "0") &amp; " Days"), IF(U551="Closed Sale", AA551, "")))</f>
        <v/>
      </c>
      <c r="AB551" s="137" t="str">
        <f t="shared" ref="AB551:AB567" ca="1" si="76">IF(H551="", "", IF(OR(U551="Pending", U551="Pending Allocation"), CONCATENATE(TODAY()-H551, " Days"), IF(U551="Closed", "", "")))</f>
        <v/>
      </c>
      <c r="AC551" s="160" t="str">
        <f t="shared" ref="AC551:AC567" ca="1" si="77">IF(U551="Pending Allocation", IF(I551="", "", TODAY()-I551), "")</f>
        <v/>
      </c>
      <c r="AD551" s="159" t="str">
        <f t="shared" ref="AD551:AD567" ca="1" si="78">IF(U551="Open Sale", TEXT(TODAY()-I551, "0"),
   IF(U551="Pending", "",
      IF(U551="Closed Sale", "", "")))</f>
        <v/>
      </c>
      <c r="AE551" s="161"/>
      <c r="AF551" s="161"/>
      <c r="AG551" s="161"/>
      <c r="AH551" s="137"/>
      <c r="AI551" s="164" t="str">
        <f t="shared" si="66"/>
        <v/>
      </c>
      <c r="AJ551" s="164" t="str">
        <f>IF(AND(OpenPendingCases[[#This Row],[Sale Status	]]="Open Sale",OpenPendingCases[[#This Row],[Potential Same Month]]="High"),TEXT(OpenPendingCases[[#This Row],[Request Entry Date]], "[$-en-us]mmmm"),"")</f>
        <v/>
      </c>
      <c r="AK551" s="165" t="str">
        <f>IFERROR(VALUE(SUBSTITUTE(OpenPendingCases[[#This Row],[Price]]," AED","")),"")</f>
        <v/>
      </c>
      <c r="AL551" s="165" t="str">
        <f>IFERROR(VALUE(LEFT(OpenPendingCases[[#This Row],[Price]],FIND(" ",OpenPendingCases[[#This Row],[Price]])-1)),"")</f>
        <v/>
      </c>
      <c r="AM551" s="165" t="str">
        <f>IFERROR(VALUE(_xlfn.TEXTBEFORE(OpenPendingCases[[#This Row],[Price]]," AED")),"")</f>
        <v/>
      </c>
      <c r="AN551" s="165"/>
    </row>
    <row r="552" spans="3:40" ht="18" hidden="1" x14ac:dyDescent="0.3">
      <c r="C552" s="134"/>
      <c r="D552" s="137" t="str">
        <f>IF($U552="Open", IF(MAX($D$4:D551)+1=0, "", MAX($D$4:D551)+1), "")</f>
        <v/>
      </c>
      <c r="E552" s="137" t="str">
        <f>IF($U552="Pending Allocation", IF(MAX($E$4:E551)+1=0, "", MAX($E$4:E551)+1), "")</f>
        <v/>
      </c>
      <c r="F552" s="137"/>
      <c r="G552" s="137"/>
      <c r="H552" s="150"/>
      <c r="I552" s="150"/>
      <c r="J552" s="151" t="str">
        <f>IF(OpenPendingCases[[#This Row],[Timepiece Reference ]]="", "", IF(_xlfn.XLOOKUP(OpenPendingCases[[#This Row],[Timepiece Reference ]], Table1[[Timepiece Reference ]], Table1[CRC STOCK], "Not Found")="YES", "CRC Stock", "Boutique Stock"))</f>
        <v/>
      </c>
      <c r="K552" s="137" t="str">
        <f>IF(OpenPendingCases[[#This Row],[Timepiece Reference ]]="", "", IF(_xlfn.XLOOKUP(OpenPendingCases[[#This Row],[Timepiece Reference ]], Table1[[Timepiece Reference ]], Table1[CRC STOCK], "Not Found")="YES", "CRC Stock", "Boutique Stock"))</f>
        <v/>
      </c>
      <c r="L552" s="143"/>
      <c r="M552" s="141"/>
      <c r="N552" s="137"/>
      <c r="O552" s="134"/>
      <c r="P552" s="137" t="str">
        <f>IFERROR(VLOOKUP(TRIM(O552), Collection!$B$2:$D$1001, 2, FALSE), "")</f>
        <v/>
      </c>
      <c r="Q552" s="184" t="str">
        <f>IFERROR(VLOOKUP(TRIM(O552), Collection!$B$2:$D$1001, 3, FALSE), "")</f>
        <v/>
      </c>
      <c r="R552" s="153" t="str">
        <f t="shared" si="73"/>
        <v/>
      </c>
      <c r="S552" s="168"/>
      <c r="T552" s="183"/>
      <c r="U552" s="137"/>
      <c r="V552" s="137"/>
      <c r="W552" s="167" t="str">
        <f t="shared" si="74"/>
        <v/>
      </c>
      <c r="X552" s="157"/>
      <c r="Y552" s="158"/>
      <c r="Z552" s="158"/>
      <c r="AA552" s="137" t="str">
        <f t="shared" ca="1" si="75"/>
        <v/>
      </c>
      <c r="AB552" s="137" t="str">
        <f t="shared" ca="1" si="76"/>
        <v/>
      </c>
      <c r="AC552" s="160" t="str">
        <f t="shared" ca="1" si="77"/>
        <v/>
      </c>
      <c r="AD552" s="159" t="str">
        <f t="shared" ca="1" si="78"/>
        <v/>
      </c>
      <c r="AE552" s="161"/>
      <c r="AF552" s="161"/>
      <c r="AG552" s="161"/>
      <c r="AH552" s="137"/>
      <c r="AI552" s="164" t="str">
        <f t="shared" si="66"/>
        <v/>
      </c>
      <c r="AJ552" s="164" t="str">
        <f>IF(AND(OpenPendingCases[[#This Row],[Sale Status	]]="Open Sale",OpenPendingCases[[#This Row],[Potential Same Month]]="High"),TEXT(OpenPendingCases[[#This Row],[Request Entry Date]], "[$-en-us]mmmm"),"")</f>
        <v/>
      </c>
      <c r="AK552" s="165" t="str">
        <f>IFERROR(VALUE(SUBSTITUTE(OpenPendingCases[[#This Row],[Price]]," AED","")),"")</f>
        <v/>
      </c>
      <c r="AL552" s="165" t="str">
        <f>IFERROR(VALUE(LEFT(OpenPendingCases[[#This Row],[Price]],FIND(" ",OpenPendingCases[[#This Row],[Price]])-1)),"")</f>
        <v/>
      </c>
      <c r="AM552" s="165" t="str">
        <f>IFERROR(VALUE(_xlfn.TEXTBEFORE(OpenPendingCases[[#This Row],[Price]]," AED")),"")</f>
        <v/>
      </c>
      <c r="AN552" s="165"/>
    </row>
    <row r="553" spans="3:40" ht="18" hidden="1" x14ac:dyDescent="0.3">
      <c r="C553" s="134"/>
      <c r="D553" s="137" t="str">
        <f>IF($U553="Open", IF(MAX($D$4:D552)+1=0, "", MAX($D$4:D552)+1), "")</f>
        <v/>
      </c>
      <c r="E553" s="137" t="str">
        <f>IF($U553="Pending Allocation", IF(MAX($E$4:E552)+1=0, "", MAX($E$4:E552)+1), "")</f>
        <v/>
      </c>
      <c r="F553" s="137"/>
      <c r="G553" s="137"/>
      <c r="H553" s="150"/>
      <c r="I553" s="150"/>
      <c r="J553" s="151" t="str">
        <f>IF(OpenPendingCases[[#This Row],[Timepiece Reference ]]="", "", IF(_xlfn.XLOOKUP(OpenPendingCases[[#This Row],[Timepiece Reference ]], Table1[[Timepiece Reference ]], Table1[CRC STOCK], "Not Found")="YES", "CRC Stock", "Boutique Stock"))</f>
        <v/>
      </c>
      <c r="K553" s="137" t="str">
        <f>IF(OpenPendingCases[[#This Row],[Timepiece Reference ]]="", "", IF(_xlfn.XLOOKUP(OpenPendingCases[[#This Row],[Timepiece Reference ]], Table1[[Timepiece Reference ]], Table1[CRC STOCK], "Not Found")="YES", "CRC Stock", "Boutique Stock"))</f>
        <v/>
      </c>
      <c r="L553" s="143"/>
      <c r="M553" s="141"/>
      <c r="N553" s="137"/>
      <c r="O553" s="134"/>
      <c r="P553" s="137" t="str">
        <f>IFERROR(VLOOKUP(TRIM(O553), Collection!$B$2:$D$1001, 2, FALSE), "")</f>
        <v/>
      </c>
      <c r="Q553" s="184" t="str">
        <f>IFERROR(VLOOKUP(TRIM(O553), Collection!$B$2:$D$1001, 3, FALSE), "")</f>
        <v/>
      </c>
      <c r="R553" s="153" t="str">
        <f t="shared" si="73"/>
        <v/>
      </c>
      <c r="S553" s="168"/>
      <c r="T553" s="183"/>
      <c r="U553" s="137"/>
      <c r="V553" s="137"/>
      <c r="W553" s="167" t="str">
        <f t="shared" si="74"/>
        <v/>
      </c>
      <c r="X553" s="157"/>
      <c r="Y553" s="158"/>
      <c r="Z553" s="158"/>
      <c r="AA553" s="137" t="str">
        <f t="shared" ca="1" si="75"/>
        <v/>
      </c>
      <c r="AB553" s="137" t="str">
        <f t="shared" ca="1" si="76"/>
        <v/>
      </c>
      <c r="AC553" s="160" t="str">
        <f t="shared" ca="1" si="77"/>
        <v/>
      </c>
      <c r="AD553" s="159" t="str">
        <f t="shared" ca="1" si="78"/>
        <v/>
      </c>
      <c r="AE553" s="161"/>
      <c r="AF553" s="161"/>
      <c r="AG553" s="161"/>
      <c r="AH553" s="137"/>
      <c r="AI553" s="164" t="str">
        <f t="shared" si="66"/>
        <v/>
      </c>
      <c r="AJ553" s="164" t="str">
        <f>IF(AND(OpenPendingCases[[#This Row],[Sale Status	]]="Open Sale",OpenPendingCases[[#This Row],[Potential Same Month]]="High"),TEXT(OpenPendingCases[[#This Row],[Request Entry Date]], "[$-en-us]mmmm"),"")</f>
        <v/>
      </c>
      <c r="AK553" s="165" t="str">
        <f>IFERROR(VALUE(SUBSTITUTE(OpenPendingCases[[#This Row],[Price]]," AED","")),"")</f>
        <v/>
      </c>
      <c r="AL553" s="165" t="str">
        <f>IFERROR(VALUE(LEFT(OpenPendingCases[[#This Row],[Price]],FIND(" ",OpenPendingCases[[#This Row],[Price]])-1)),"")</f>
        <v/>
      </c>
      <c r="AM553" s="165" t="str">
        <f>IFERROR(VALUE(_xlfn.TEXTBEFORE(OpenPendingCases[[#This Row],[Price]]," AED")),"")</f>
        <v/>
      </c>
      <c r="AN553" s="165"/>
    </row>
    <row r="554" spans="3:40" ht="18" hidden="1" x14ac:dyDescent="0.3">
      <c r="C554" s="134"/>
      <c r="D554" s="137" t="str">
        <f>IF($U554="Open", IF(MAX($D$4:D553)+1=0, "", MAX($D$4:D553)+1), "")</f>
        <v/>
      </c>
      <c r="E554" s="137" t="str">
        <f>IF($U554="Pending Allocation", IF(MAX($E$4:E553)+1=0, "", MAX($E$4:E553)+1), "")</f>
        <v/>
      </c>
      <c r="F554" s="137"/>
      <c r="G554" s="137"/>
      <c r="H554" s="150"/>
      <c r="I554" s="150"/>
      <c r="J554" s="151" t="str">
        <f>IF(OpenPendingCases[[#This Row],[Timepiece Reference ]]="", "", IF(_xlfn.XLOOKUP(OpenPendingCases[[#This Row],[Timepiece Reference ]], Table1[[Timepiece Reference ]], Table1[CRC STOCK], "Not Found")="YES", "CRC Stock", "Boutique Stock"))</f>
        <v/>
      </c>
      <c r="K554" s="137" t="str">
        <f>IF(OpenPendingCases[[#This Row],[Timepiece Reference ]]="", "", IF(_xlfn.XLOOKUP(OpenPendingCases[[#This Row],[Timepiece Reference ]], Table1[[Timepiece Reference ]], Table1[CRC STOCK], "Not Found")="YES", "CRC Stock", "Boutique Stock"))</f>
        <v/>
      </c>
      <c r="L554" s="143"/>
      <c r="M554" s="141"/>
      <c r="N554" s="137"/>
      <c r="O554" s="134"/>
      <c r="P554" s="137" t="str">
        <f>IFERROR(VLOOKUP(TRIM(O554), Collection!$B$2:$D$1001, 2, FALSE), "")</f>
        <v/>
      </c>
      <c r="Q554" s="184" t="str">
        <f>IFERROR(VLOOKUP(TRIM(O554), Collection!$B$2:$D$1001, 3, FALSE), "")</f>
        <v/>
      </c>
      <c r="R554" s="153" t="str">
        <f t="shared" si="73"/>
        <v/>
      </c>
      <c r="S554" s="168"/>
      <c r="T554" s="183"/>
      <c r="U554" s="137"/>
      <c r="V554" s="137"/>
      <c r="W554" s="167" t="str">
        <f t="shared" si="74"/>
        <v/>
      </c>
      <c r="X554" s="157"/>
      <c r="Y554" s="158"/>
      <c r="Z554" s="158"/>
      <c r="AA554" s="137" t="str">
        <f t="shared" ca="1" si="75"/>
        <v/>
      </c>
      <c r="AB554" s="137" t="str">
        <f t="shared" ca="1" si="76"/>
        <v/>
      </c>
      <c r="AC554" s="160" t="str">
        <f t="shared" ca="1" si="77"/>
        <v/>
      </c>
      <c r="AD554" s="159" t="str">
        <f t="shared" ca="1" si="78"/>
        <v/>
      </c>
      <c r="AE554" s="161"/>
      <c r="AF554" s="161"/>
      <c r="AG554" s="161"/>
      <c r="AH554" s="137"/>
      <c r="AI554" s="164" t="str">
        <f t="shared" si="66"/>
        <v/>
      </c>
      <c r="AJ554" s="164" t="str">
        <f>IF(AND(OpenPendingCases[[#This Row],[Sale Status	]]="Open Sale",OpenPendingCases[[#This Row],[Potential Same Month]]="High"),TEXT(OpenPendingCases[[#This Row],[Request Entry Date]], "[$-en-us]mmmm"),"")</f>
        <v/>
      </c>
      <c r="AK554" s="165" t="str">
        <f>IFERROR(VALUE(SUBSTITUTE(OpenPendingCases[[#This Row],[Price]]," AED","")),"")</f>
        <v/>
      </c>
      <c r="AL554" s="165" t="str">
        <f>IFERROR(VALUE(LEFT(OpenPendingCases[[#This Row],[Price]],FIND(" ",OpenPendingCases[[#This Row],[Price]])-1)),"")</f>
        <v/>
      </c>
      <c r="AM554" s="165" t="str">
        <f>IFERROR(VALUE(_xlfn.TEXTBEFORE(OpenPendingCases[[#This Row],[Price]]," AED")),"")</f>
        <v/>
      </c>
      <c r="AN554" s="165"/>
    </row>
    <row r="555" spans="3:40" ht="18" hidden="1" x14ac:dyDescent="0.3">
      <c r="C555" s="134"/>
      <c r="D555" s="137" t="str">
        <f>IF($U555="Open", IF(MAX($D$4:D554)+1=0, "", MAX($D$4:D554)+1), "")</f>
        <v/>
      </c>
      <c r="E555" s="137" t="str">
        <f>IF($U555="Pending Allocation", IF(MAX($E$4:E554)+1=0, "", MAX($E$4:E554)+1), "")</f>
        <v/>
      </c>
      <c r="F555" s="137"/>
      <c r="G555" s="137"/>
      <c r="H555" s="150"/>
      <c r="I555" s="150"/>
      <c r="J555" s="151" t="str">
        <f>IF(OpenPendingCases[[#This Row],[Timepiece Reference ]]="", "", IF(_xlfn.XLOOKUP(OpenPendingCases[[#This Row],[Timepiece Reference ]], Table1[[Timepiece Reference ]], Table1[CRC STOCK], "Not Found")="YES", "CRC Stock", "Boutique Stock"))</f>
        <v/>
      </c>
      <c r="K555" s="137" t="str">
        <f>IF(OpenPendingCases[[#This Row],[Timepiece Reference ]]="", "", IF(_xlfn.XLOOKUP(OpenPendingCases[[#This Row],[Timepiece Reference ]], Table1[[Timepiece Reference ]], Table1[CRC STOCK], "Not Found")="YES", "CRC Stock", "Boutique Stock"))</f>
        <v/>
      </c>
      <c r="L555" s="143"/>
      <c r="M555" s="141"/>
      <c r="N555" s="137"/>
      <c r="O555" s="134"/>
      <c r="P555" s="137" t="str">
        <f>IFERROR(VLOOKUP(TRIM(O555), Collection!$B$2:$D$1001, 2, FALSE), "")</f>
        <v/>
      </c>
      <c r="Q555" s="184" t="str">
        <f>IFERROR(VLOOKUP(TRIM(O555), Collection!$B$2:$D$1001, 3, FALSE), "")</f>
        <v/>
      </c>
      <c r="R555" s="153" t="str">
        <f t="shared" si="73"/>
        <v/>
      </c>
      <c r="S555" s="168"/>
      <c r="T555" s="183"/>
      <c r="U555" s="137"/>
      <c r="V555" s="137"/>
      <c r="W555" s="167" t="str">
        <f t="shared" si="74"/>
        <v/>
      </c>
      <c r="X555" s="157"/>
      <c r="Y555" s="158"/>
      <c r="Z555" s="158"/>
      <c r="AA555" s="137" t="str">
        <f t="shared" ca="1" si="75"/>
        <v/>
      </c>
      <c r="AB555" s="137" t="str">
        <f t="shared" ca="1" si="76"/>
        <v/>
      </c>
      <c r="AC555" s="160" t="str">
        <f t="shared" ca="1" si="77"/>
        <v/>
      </c>
      <c r="AD555" s="159" t="str">
        <f t="shared" ca="1" si="78"/>
        <v/>
      </c>
      <c r="AE555" s="161"/>
      <c r="AF555" s="161"/>
      <c r="AG555" s="161"/>
      <c r="AH555" s="137"/>
      <c r="AI555" s="164" t="str">
        <f t="shared" si="66"/>
        <v/>
      </c>
      <c r="AJ555" s="164" t="str">
        <f>IF(AND(OpenPendingCases[[#This Row],[Sale Status	]]="Open Sale",OpenPendingCases[[#This Row],[Potential Same Month]]="High"),TEXT(OpenPendingCases[[#This Row],[Request Entry Date]], "[$-en-us]mmmm"),"")</f>
        <v/>
      </c>
      <c r="AK555" s="165" t="str">
        <f>IFERROR(VALUE(SUBSTITUTE(OpenPendingCases[[#This Row],[Price]]," AED","")),"")</f>
        <v/>
      </c>
      <c r="AL555" s="165" t="str">
        <f>IFERROR(VALUE(LEFT(OpenPendingCases[[#This Row],[Price]],FIND(" ",OpenPendingCases[[#This Row],[Price]])-1)),"")</f>
        <v/>
      </c>
      <c r="AM555" s="165" t="str">
        <f>IFERROR(VALUE(_xlfn.TEXTBEFORE(OpenPendingCases[[#This Row],[Price]]," AED")),"")</f>
        <v/>
      </c>
      <c r="AN555" s="165"/>
    </row>
    <row r="556" spans="3:40" ht="18" hidden="1" x14ac:dyDescent="0.3">
      <c r="C556" s="134"/>
      <c r="D556" s="137" t="str">
        <f>IF($U556="Open", IF(MAX($D$4:D555)+1=0, "", MAX($D$4:D555)+1), "")</f>
        <v/>
      </c>
      <c r="E556" s="137" t="str">
        <f>IF($U556="Pending Allocation", IF(MAX($E$4:E555)+1=0, "", MAX($E$4:E555)+1), "")</f>
        <v/>
      </c>
      <c r="F556" s="137"/>
      <c r="G556" s="137"/>
      <c r="H556" s="150"/>
      <c r="I556" s="150"/>
      <c r="J556" s="151" t="str">
        <f>IF(OpenPendingCases[[#This Row],[Timepiece Reference ]]="", "", IF(_xlfn.XLOOKUP(OpenPendingCases[[#This Row],[Timepiece Reference ]], Table1[[Timepiece Reference ]], Table1[CRC STOCK], "Not Found")="YES", "CRC Stock", "Boutique Stock"))</f>
        <v/>
      </c>
      <c r="K556" s="137" t="str">
        <f>IF(OpenPendingCases[[#This Row],[Timepiece Reference ]]="", "", IF(_xlfn.XLOOKUP(OpenPendingCases[[#This Row],[Timepiece Reference ]], Table1[[Timepiece Reference ]], Table1[CRC STOCK], "Not Found")="YES", "CRC Stock", "Boutique Stock"))</f>
        <v/>
      </c>
      <c r="L556" s="143"/>
      <c r="M556" s="141"/>
      <c r="N556" s="137"/>
      <c r="O556" s="134"/>
      <c r="P556" s="137" t="str">
        <f>IFERROR(VLOOKUP(TRIM(O556), Collection!$B$2:$D$1001, 2, FALSE), "")</f>
        <v/>
      </c>
      <c r="Q556" s="184" t="str">
        <f>IFERROR(VLOOKUP(TRIM(O556), Collection!$B$2:$D$1001, 3, FALSE), "")</f>
        <v/>
      </c>
      <c r="R556" s="153" t="str">
        <f t="shared" si="73"/>
        <v/>
      </c>
      <c r="S556" s="168"/>
      <c r="T556" s="183"/>
      <c r="U556" s="137"/>
      <c r="V556" s="137"/>
      <c r="W556" s="167" t="str">
        <f t="shared" si="74"/>
        <v/>
      </c>
      <c r="X556" s="157"/>
      <c r="Y556" s="158"/>
      <c r="Z556" s="158"/>
      <c r="AA556" s="137" t="str">
        <f t="shared" ca="1" si="75"/>
        <v/>
      </c>
      <c r="AB556" s="137" t="str">
        <f t="shared" ca="1" si="76"/>
        <v/>
      </c>
      <c r="AC556" s="160" t="str">
        <f t="shared" ca="1" si="77"/>
        <v/>
      </c>
      <c r="AD556" s="159" t="str">
        <f t="shared" ca="1" si="78"/>
        <v/>
      </c>
      <c r="AE556" s="161"/>
      <c r="AF556" s="161"/>
      <c r="AG556" s="161"/>
      <c r="AH556" s="137"/>
      <c r="AI556" s="164" t="str">
        <f t="shared" si="66"/>
        <v/>
      </c>
      <c r="AJ556" s="164" t="str">
        <f>IF(AND(OpenPendingCases[[#This Row],[Sale Status	]]="Open Sale",OpenPendingCases[[#This Row],[Potential Same Month]]="High"),TEXT(OpenPendingCases[[#This Row],[Request Entry Date]], "[$-en-us]mmmm"),"")</f>
        <v/>
      </c>
      <c r="AK556" s="165" t="str">
        <f>IFERROR(VALUE(SUBSTITUTE(OpenPendingCases[[#This Row],[Price]]," AED","")),"")</f>
        <v/>
      </c>
      <c r="AL556" s="165" t="str">
        <f>IFERROR(VALUE(LEFT(OpenPendingCases[[#This Row],[Price]],FIND(" ",OpenPendingCases[[#This Row],[Price]])-1)),"")</f>
        <v/>
      </c>
      <c r="AM556" s="165" t="str">
        <f>IFERROR(VALUE(_xlfn.TEXTBEFORE(OpenPendingCases[[#This Row],[Price]]," AED")),"")</f>
        <v/>
      </c>
      <c r="AN556" s="165"/>
    </row>
    <row r="557" spans="3:40" ht="18" hidden="1" x14ac:dyDescent="0.3">
      <c r="C557" s="134"/>
      <c r="D557" s="137" t="str">
        <f>IF($U557="Open", IF(MAX($D$4:D556)+1=0, "", MAX($D$4:D556)+1), "")</f>
        <v/>
      </c>
      <c r="E557" s="137" t="str">
        <f>IF($U557="Pending Allocation", IF(MAX($E$4:E556)+1=0, "", MAX($E$4:E556)+1), "")</f>
        <v/>
      </c>
      <c r="F557" s="137"/>
      <c r="G557" s="137"/>
      <c r="H557" s="150"/>
      <c r="I557" s="150"/>
      <c r="J557" s="151" t="str">
        <f>IF(OpenPendingCases[[#This Row],[Timepiece Reference ]]="", "", IF(_xlfn.XLOOKUP(OpenPendingCases[[#This Row],[Timepiece Reference ]], Table1[[Timepiece Reference ]], Table1[CRC STOCK], "Not Found")="YES", "CRC Stock", "Boutique Stock"))</f>
        <v/>
      </c>
      <c r="K557" s="137" t="str">
        <f>IF(OpenPendingCases[[#This Row],[Timepiece Reference ]]="", "", IF(_xlfn.XLOOKUP(OpenPendingCases[[#This Row],[Timepiece Reference ]], Table1[[Timepiece Reference ]], Table1[CRC STOCK], "Not Found")="YES", "CRC Stock", "Boutique Stock"))</f>
        <v/>
      </c>
      <c r="L557" s="143"/>
      <c r="M557" s="141"/>
      <c r="N557" s="137"/>
      <c r="O557" s="134"/>
      <c r="P557" s="137" t="str">
        <f>IFERROR(VLOOKUP(TRIM(O557), Collection!$B$2:$D$1001, 2, FALSE), "")</f>
        <v/>
      </c>
      <c r="Q557" s="184" t="str">
        <f>IFERROR(VLOOKUP(TRIM(O557), Collection!$B$2:$D$1001, 3, FALSE), "")</f>
        <v/>
      </c>
      <c r="R557" s="153" t="str">
        <f t="shared" si="73"/>
        <v/>
      </c>
      <c r="S557" s="168"/>
      <c r="T557" s="183"/>
      <c r="U557" s="137"/>
      <c r="V557" s="137"/>
      <c r="W557" s="167" t="str">
        <f t="shared" si="74"/>
        <v/>
      </c>
      <c r="X557" s="157"/>
      <c r="Y557" s="158"/>
      <c r="Z557" s="158"/>
      <c r="AA557" s="137" t="str">
        <f t="shared" ca="1" si="75"/>
        <v/>
      </c>
      <c r="AB557" s="137" t="str">
        <f t="shared" ca="1" si="76"/>
        <v/>
      </c>
      <c r="AC557" s="160" t="str">
        <f t="shared" ca="1" si="77"/>
        <v/>
      </c>
      <c r="AD557" s="159" t="str">
        <f t="shared" ca="1" si="78"/>
        <v/>
      </c>
      <c r="AE557" s="161"/>
      <c r="AF557" s="161"/>
      <c r="AG557" s="161"/>
      <c r="AH557" s="137"/>
      <c r="AI557" s="164" t="str">
        <f t="shared" si="66"/>
        <v/>
      </c>
      <c r="AJ557" s="164" t="str">
        <f>IF(AND(OpenPendingCases[[#This Row],[Sale Status	]]="Open Sale",OpenPendingCases[[#This Row],[Potential Same Month]]="High"),TEXT(OpenPendingCases[[#This Row],[Request Entry Date]], "[$-en-us]mmmm"),"")</f>
        <v/>
      </c>
      <c r="AK557" s="165" t="str">
        <f>IFERROR(VALUE(SUBSTITUTE(OpenPendingCases[[#This Row],[Price]]," AED","")),"")</f>
        <v/>
      </c>
      <c r="AL557" s="165" t="str">
        <f>IFERROR(VALUE(LEFT(OpenPendingCases[[#This Row],[Price]],FIND(" ",OpenPendingCases[[#This Row],[Price]])-1)),"")</f>
        <v/>
      </c>
      <c r="AM557" s="165" t="str">
        <f>IFERROR(VALUE(_xlfn.TEXTBEFORE(OpenPendingCases[[#This Row],[Price]]," AED")),"")</f>
        <v/>
      </c>
      <c r="AN557" s="165"/>
    </row>
    <row r="558" spans="3:40" ht="18" hidden="1" x14ac:dyDescent="0.3">
      <c r="C558" s="134"/>
      <c r="D558" s="137" t="str">
        <f>IF($U558="Open", IF(MAX($D$4:D557)+1=0, "", MAX($D$4:D557)+1), "")</f>
        <v/>
      </c>
      <c r="E558" s="137" t="str">
        <f>IF($U558="Pending Allocation", IF(MAX($E$4:E557)+1=0, "", MAX($E$4:E557)+1), "")</f>
        <v/>
      </c>
      <c r="F558" s="137"/>
      <c r="G558" s="137"/>
      <c r="H558" s="150"/>
      <c r="I558" s="150"/>
      <c r="J558" s="151" t="str">
        <f>IF(OpenPendingCases[[#This Row],[Timepiece Reference ]]="", "", IF(_xlfn.XLOOKUP(OpenPendingCases[[#This Row],[Timepiece Reference ]], Table1[[Timepiece Reference ]], Table1[CRC STOCK], "Not Found")="YES", "CRC Stock", "Boutique Stock"))</f>
        <v/>
      </c>
      <c r="K558" s="137" t="str">
        <f>IF(OpenPendingCases[[#This Row],[Timepiece Reference ]]="", "", IF(_xlfn.XLOOKUP(OpenPendingCases[[#This Row],[Timepiece Reference ]], Table1[[Timepiece Reference ]], Table1[CRC STOCK], "Not Found")="YES", "CRC Stock", "Boutique Stock"))</f>
        <v/>
      </c>
      <c r="L558" s="143"/>
      <c r="M558" s="141"/>
      <c r="N558" s="137"/>
      <c r="O558" s="134"/>
      <c r="P558" s="137" t="str">
        <f>IFERROR(VLOOKUP(TRIM(O558), Collection!$B$2:$D$1001, 2, FALSE), "")</f>
        <v/>
      </c>
      <c r="Q558" s="184" t="str">
        <f>IFERROR(VLOOKUP(TRIM(O558), Collection!$B$2:$D$1001, 3, FALSE), "")</f>
        <v/>
      </c>
      <c r="R558" s="153" t="str">
        <f t="shared" si="73"/>
        <v/>
      </c>
      <c r="S558" s="168"/>
      <c r="T558" s="183"/>
      <c r="U558" s="137"/>
      <c r="V558" s="137"/>
      <c r="W558" s="167" t="str">
        <f t="shared" si="74"/>
        <v/>
      </c>
      <c r="X558" s="157"/>
      <c r="Y558" s="158"/>
      <c r="Z558" s="158"/>
      <c r="AA558" s="137" t="str">
        <f t="shared" ca="1" si="75"/>
        <v/>
      </c>
      <c r="AB558" s="137" t="str">
        <f t="shared" ca="1" si="76"/>
        <v/>
      </c>
      <c r="AC558" s="160" t="str">
        <f t="shared" ca="1" si="77"/>
        <v/>
      </c>
      <c r="AD558" s="159" t="str">
        <f t="shared" ca="1" si="78"/>
        <v/>
      </c>
      <c r="AE558" s="161"/>
      <c r="AF558" s="161"/>
      <c r="AG558" s="161"/>
      <c r="AH558" s="137"/>
      <c r="AI558" s="164" t="str">
        <f t="shared" si="66"/>
        <v/>
      </c>
      <c r="AJ558" s="164" t="str">
        <f>IF(AND(OpenPendingCases[[#This Row],[Sale Status	]]="Open Sale",OpenPendingCases[[#This Row],[Potential Same Month]]="High"),TEXT(OpenPendingCases[[#This Row],[Request Entry Date]], "[$-en-us]mmmm"),"")</f>
        <v/>
      </c>
      <c r="AK558" s="165" t="str">
        <f>IFERROR(VALUE(SUBSTITUTE(OpenPendingCases[[#This Row],[Price]]," AED","")),"")</f>
        <v/>
      </c>
      <c r="AL558" s="165" t="str">
        <f>IFERROR(VALUE(LEFT(OpenPendingCases[[#This Row],[Price]],FIND(" ",OpenPendingCases[[#This Row],[Price]])-1)),"")</f>
        <v/>
      </c>
      <c r="AM558" s="165" t="str">
        <f>IFERROR(VALUE(_xlfn.TEXTBEFORE(OpenPendingCases[[#This Row],[Price]]," AED")),"")</f>
        <v/>
      </c>
      <c r="AN558" s="165"/>
    </row>
    <row r="559" spans="3:40" ht="18" hidden="1" x14ac:dyDescent="0.3">
      <c r="C559" s="134"/>
      <c r="D559" s="137" t="str">
        <f>IF($U559="Open", IF(MAX($D$4:D558)+1=0, "", MAX($D$4:D558)+1), "")</f>
        <v/>
      </c>
      <c r="E559" s="137" t="str">
        <f>IF($U559="Pending Allocation", IF(MAX($E$4:E558)+1=0, "", MAX($E$4:E558)+1), "")</f>
        <v/>
      </c>
      <c r="F559" s="137"/>
      <c r="G559" s="137"/>
      <c r="H559" s="150"/>
      <c r="I559" s="150"/>
      <c r="J559" s="151" t="str">
        <f>IF(OpenPendingCases[[#This Row],[Timepiece Reference ]]="", "", IF(_xlfn.XLOOKUP(OpenPendingCases[[#This Row],[Timepiece Reference ]], Table1[[Timepiece Reference ]], Table1[CRC STOCK], "Not Found")="YES", "CRC Stock", "Boutique Stock"))</f>
        <v/>
      </c>
      <c r="K559" s="137" t="str">
        <f>IF(OpenPendingCases[[#This Row],[Timepiece Reference ]]="", "", IF(_xlfn.XLOOKUP(OpenPendingCases[[#This Row],[Timepiece Reference ]], Table1[[Timepiece Reference ]], Table1[CRC STOCK], "Not Found")="YES", "CRC Stock", "Boutique Stock"))</f>
        <v/>
      </c>
      <c r="L559" s="143"/>
      <c r="M559" s="141"/>
      <c r="N559" s="137"/>
      <c r="O559" s="134"/>
      <c r="P559" s="137" t="str">
        <f>IFERROR(VLOOKUP(TRIM(O559), Collection!$B$2:$D$1001, 2, FALSE), "")</f>
        <v/>
      </c>
      <c r="Q559" s="184" t="str">
        <f>IFERROR(VLOOKUP(TRIM(O559), Collection!$B$2:$D$1001, 3, FALSE), "")</f>
        <v/>
      </c>
      <c r="R559" s="153" t="str">
        <f t="shared" si="73"/>
        <v/>
      </c>
      <c r="S559" s="168"/>
      <c r="T559" s="183"/>
      <c r="U559" s="137"/>
      <c r="V559" s="137"/>
      <c r="W559" s="167" t="str">
        <f t="shared" si="74"/>
        <v/>
      </c>
      <c r="X559" s="157"/>
      <c r="Y559" s="158"/>
      <c r="Z559" s="158"/>
      <c r="AA559" s="137" t="str">
        <f t="shared" ca="1" si="75"/>
        <v/>
      </c>
      <c r="AB559" s="137" t="str">
        <f t="shared" ca="1" si="76"/>
        <v/>
      </c>
      <c r="AC559" s="160" t="str">
        <f t="shared" ca="1" si="77"/>
        <v/>
      </c>
      <c r="AD559" s="159" t="str">
        <f t="shared" ca="1" si="78"/>
        <v/>
      </c>
      <c r="AE559" s="161"/>
      <c r="AF559" s="161"/>
      <c r="AG559" s="161"/>
      <c r="AH559" s="137"/>
      <c r="AI559" s="164" t="str">
        <f t="shared" si="66"/>
        <v/>
      </c>
      <c r="AJ559" s="164" t="str">
        <f>IF(AND(OpenPendingCases[[#This Row],[Sale Status	]]="Open Sale",OpenPendingCases[[#This Row],[Potential Same Month]]="High"),TEXT(OpenPendingCases[[#This Row],[Request Entry Date]], "[$-en-us]mmmm"),"")</f>
        <v/>
      </c>
      <c r="AK559" s="165" t="str">
        <f>IFERROR(VALUE(SUBSTITUTE(OpenPendingCases[[#This Row],[Price]]," AED","")),"")</f>
        <v/>
      </c>
      <c r="AL559" s="165" t="str">
        <f>IFERROR(VALUE(LEFT(OpenPendingCases[[#This Row],[Price]],FIND(" ",OpenPendingCases[[#This Row],[Price]])-1)),"")</f>
        <v/>
      </c>
      <c r="AM559" s="165" t="str">
        <f>IFERROR(VALUE(_xlfn.TEXTBEFORE(OpenPendingCases[[#This Row],[Price]]," AED")),"")</f>
        <v/>
      </c>
      <c r="AN559" s="165"/>
    </row>
    <row r="560" spans="3:40" ht="18" hidden="1" x14ac:dyDescent="0.3">
      <c r="C560" s="134"/>
      <c r="D560" s="137" t="str">
        <f>IF($U560="Open", IF(MAX($D$4:D559)+1=0, "", MAX($D$4:D559)+1), "")</f>
        <v/>
      </c>
      <c r="E560" s="137" t="str">
        <f>IF($U560="Pending Allocation", IF(MAX($E$4:E559)+1=0, "", MAX($E$4:E559)+1), "")</f>
        <v/>
      </c>
      <c r="F560" s="137"/>
      <c r="G560" s="137"/>
      <c r="H560" s="150"/>
      <c r="I560" s="150"/>
      <c r="J560" s="151" t="str">
        <f>IF(OpenPendingCases[[#This Row],[Timepiece Reference ]]="", "", IF(_xlfn.XLOOKUP(OpenPendingCases[[#This Row],[Timepiece Reference ]], Table1[[Timepiece Reference ]], Table1[CRC STOCK], "Not Found")="YES", "CRC Stock", "Boutique Stock"))</f>
        <v/>
      </c>
      <c r="K560" s="137" t="str">
        <f>IF(OpenPendingCases[[#This Row],[Timepiece Reference ]]="", "", IF(_xlfn.XLOOKUP(OpenPendingCases[[#This Row],[Timepiece Reference ]], Table1[[Timepiece Reference ]], Table1[CRC STOCK], "Not Found")="YES", "CRC Stock", "Boutique Stock"))</f>
        <v/>
      </c>
      <c r="L560" s="143"/>
      <c r="M560" s="141"/>
      <c r="N560" s="137"/>
      <c r="O560" s="134"/>
      <c r="P560" s="137" t="str">
        <f>IFERROR(VLOOKUP(TRIM(O560), Collection!$B$2:$D$1001, 2, FALSE), "")</f>
        <v/>
      </c>
      <c r="Q560" s="184" t="str">
        <f>IFERROR(VLOOKUP(TRIM(O560), Collection!$B$2:$D$1001, 3, FALSE), "")</f>
        <v/>
      </c>
      <c r="R560" s="153" t="str">
        <f t="shared" si="73"/>
        <v/>
      </c>
      <c r="S560" s="168"/>
      <c r="T560" s="183"/>
      <c r="U560" s="137"/>
      <c r="V560" s="137"/>
      <c r="W560" s="167" t="str">
        <f t="shared" si="74"/>
        <v/>
      </c>
      <c r="X560" s="157"/>
      <c r="Y560" s="158"/>
      <c r="Z560" s="158"/>
      <c r="AA560" s="137" t="str">
        <f t="shared" ca="1" si="75"/>
        <v/>
      </c>
      <c r="AB560" s="137" t="str">
        <f t="shared" ca="1" si="76"/>
        <v/>
      </c>
      <c r="AC560" s="160" t="str">
        <f t="shared" ca="1" si="77"/>
        <v/>
      </c>
      <c r="AD560" s="159" t="str">
        <f t="shared" ca="1" si="78"/>
        <v/>
      </c>
      <c r="AE560" s="161"/>
      <c r="AF560" s="161"/>
      <c r="AG560" s="161"/>
      <c r="AH560" s="137"/>
      <c r="AI560" s="164" t="str">
        <f t="shared" si="66"/>
        <v/>
      </c>
      <c r="AJ560" s="189" t="str">
        <f>IF(AND(OpenPendingCases[[#This Row],[Sale Status	]]="Open Sale",OpenPendingCases[[#This Row],[Potential Same Month]]="High"),TEXT(OpenPendingCases[[#This Row],[Request Entry Date]], "[$-en-us]mmmm"),"")</f>
        <v/>
      </c>
      <c r="AK560" s="165" t="str">
        <f>IFERROR(VALUE(SUBSTITUTE(OpenPendingCases[[#This Row],[Price]]," AED","")),"")</f>
        <v/>
      </c>
      <c r="AL560" s="165" t="str">
        <f>IFERROR(VALUE(LEFT(OpenPendingCases[[#This Row],[Price]],FIND(" ",OpenPendingCases[[#This Row],[Price]])-1)),"")</f>
        <v/>
      </c>
      <c r="AM560" s="165" t="str">
        <f>IFERROR(VALUE(_xlfn.TEXTBEFORE(OpenPendingCases[[#This Row],[Price]]," AED")),"")</f>
        <v/>
      </c>
      <c r="AN560" s="165"/>
    </row>
    <row r="561" spans="3:40" ht="18" hidden="1" x14ac:dyDescent="0.3">
      <c r="C561" s="134"/>
      <c r="D561" s="137" t="str">
        <f>IF($U561="Open", IF(MAX($D$4:D560)+1=0, "", MAX($D$4:D560)+1), "")</f>
        <v/>
      </c>
      <c r="E561" s="137" t="str">
        <f>IF($U561="Pending Allocation", IF(MAX($E$4:E560)+1=0, "", MAX($E$4:E560)+1), "")</f>
        <v/>
      </c>
      <c r="F561" s="137"/>
      <c r="G561" s="137"/>
      <c r="H561" s="150"/>
      <c r="I561" s="150"/>
      <c r="J561" s="151" t="str">
        <f>IF(OpenPendingCases[[#This Row],[Timepiece Reference ]]="", "", IF(_xlfn.XLOOKUP(OpenPendingCases[[#This Row],[Timepiece Reference ]], Table1[[Timepiece Reference ]], Table1[CRC STOCK], "Not Found")="YES", "CRC Stock", "Boutique Stock"))</f>
        <v/>
      </c>
      <c r="K561" s="137" t="str">
        <f>IF(OpenPendingCases[[#This Row],[Timepiece Reference ]]="", "", IF(_xlfn.XLOOKUP(OpenPendingCases[[#This Row],[Timepiece Reference ]], Table1[[Timepiece Reference ]], Table1[CRC STOCK], "Not Found")="YES", "CRC Stock", "Boutique Stock"))</f>
        <v/>
      </c>
      <c r="L561" s="143"/>
      <c r="M561" s="141"/>
      <c r="N561" s="137"/>
      <c r="O561" s="134"/>
      <c r="P561" s="137" t="str">
        <f>IFERROR(VLOOKUP(TRIM(O561), Collection!$B$2:$D$1001, 2, FALSE), "")</f>
        <v/>
      </c>
      <c r="Q561" s="184" t="str">
        <f>IFERROR(VLOOKUP(TRIM(O561), Collection!$B$2:$D$1001, 3, FALSE), "")</f>
        <v/>
      </c>
      <c r="R561" s="153" t="str">
        <f t="shared" si="73"/>
        <v/>
      </c>
      <c r="S561" s="168"/>
      <c r="T561" s="183"/>
      <c r="U561" s="137"/>
      <c r="V561" s="137"/>
      <c r="W561" s="167" t="str">
        <f t="shared" si="74"/>
        <v/>
      </c>
      <c r="X561" s="157"/>
      <c r="Y561" s="158"/>
      <c r="Z561" s="158"/>
      <c r="AA561" s="137" t="str">
        <f t="shared" ca="1" si="75"/>
        <v/>
      </c>
      <c r="AB561" s="137" t="str">
        <f t="shared" ca="1" si="76"/>
        <v/>
      </c>
      <c r="AC561" s="160" t="str">
        <f t="shared" ca="1" si="77"/>
        <v/>
      </c>
      <c r="AD561" s="159" t="str">
        <f t="shared" ca="1" si="78"/>
        <v/>
      </c>
      <c r="AE561" s="161"/>
      <c r="AF561" s="161"/>
      <c r="AG561" s="161"/>
      <c r="AH561" s="137"/>
      <c r="AI561" s="164" t="str">
        <f t="shared" si="66"/>
        <v/>
      </c>
      <c r="AJ561" s="189" t="str">
        <f>IF(AND(OpenPendingCases[[#This Row],[Sale Status	]]="Open Sale",OpenPendingCases[[#This Row],[Potential Same Month]]="High"),TEXT(OpenPendingCases[[#This Row],[Request Entry Date]], "[$-en-us]mmmm"),"")</f>
        <v/>
      </c>
      <c r="AK561" s="165" t="str">
        <f>IFERROR(VALUE(SUBSTITUTE(OpenPendingCases[[#This Row],[Price]]," AED","")),"")</f>
        <v/>
      </c>
      <c r="AL561" s="165" t="str">
        <f>IFERROR(VALUE(LEFT(OpenPendingCases[[#This Row],[Price]],FIND(" ",OpenPendingCases[[#This Row],[Price]])-1)),"")</f>
        <v/>
      </c>
      <c r="AM561" s="165" t="str">
        <f>IFERROR(VALUE(_xlfn.TEXTBEFORE(OpenPendingCases[[#This Row],[Price]]," AED")),"")</f>
        <v/>
      </c>
      <c r="AN561" s="165"/>
    </row>
    <row r="562" spans="3:40" ht="18" hidden="1" x14ac:dyDescent="0.3">
      <c r="C562" s="134"/>
      <c r="D562" s="137" t="str">
        <f>IF($U562="Open", IF(MAX($D$4:D561)+1=0, "", MAX($D$4:D561)+1), "")</f>
        <v/>
      </c>
      <c r="E562" s="137" t="str">
        <f>IF($U562="Pending Allocation", IF(MAX($E$4:E561)+1=0, "", MAX($E$4:E561)+1), "")</f>
        <v/>
      </c>
      <c r="F562" s="137"/>
      <c r="G562" s="137"/>
      <c r="H562" s="150"/>
      <c r="I562" s="150"/>
      <c r="J562" s="151" t="str">
        <f>IF(OpenPendingCases[[#This Row],[Timepiece Reference ]]="", "", IF(_xlfn.XLOOKUP(OpenPendingCases[[#This Row],[Timepiece Reference ]], Table1[[Timepiece Reference ]], Table1[CRC STOCK], "Not Found")="YES", "CRC Stock", "Boutique Stock"))</f>
        <v/>
      </c>
      <c r="K562" s="137" t="str">
        <f>IF(OpenPendingCases[[#This Row],[Timepiece Reference ]]="", "", IF(_xlfn.XLOOKUP(OpenPendingCases[[#This Row],[Timepiece Reference ]], Table1[[Timepiece Reference ]], Table1[CRC STOCK], "Not Found")="YES", "CRC Stock", "Boutique Stock"))</f>
        <v/>
      </c>
      <c r="L562" s="143"/>
      <c r="M562" s="141"/>
      <c r="N562" s="137"/>
      <c r="O562" s="134"/>
      <c r="P562" s="137" t="str">
        <f>IFERROR(VLOOKUP(TRIM(O562), Collection!$B$2:$D$1001, 2, FALSE), "")</f>
        <v/>
      </c>
      <c r="Q562" s="184" t="str">
        <f>IFERROR(VLOOKUP(TRIM(O562), Collection!$B$2:$D$1001, 3, FALSE), "")</f>
        <v/>
      </c>
      <c r="R562" s="153" t="str">
        <f t="shared" si="73"/>
        <v/>
      </c>
      <c r="S562" s="168"/>
      <c r="T562" s="183"/>
      <c r="U562" s="137"/>
      <c r="V562" s="137"/>
      <c r="W562" s="167" t="str">
        <f t="shared" si="74"/>
        <v/>
      </c>
      <c r="X562" s="157"/>
      <c r="Y562" s="158"/>
      <c r="Z562" s="158"/>
      <c r="AA562" s="137" t="str">
        <f t="shared" ca="1" si="75"/>
        <v/>
      </c>
      <c r="AB562" s="137" t="str">
        <f t="shared" ca="1" si="76"/>
        <v/>
      </c>
      <c r="AC562" s="160" t="str">
        <f t="shared" ca="1" si="77"/>
        <v/>
      </c>
      <c r="AD562" s="159" t="str">
        <f t="shared" ca="1" si="78"/>
        <v/>
      </c>
      <c r="AE562" s="161"/>
      <c r="AF562" s="161"/>
      <c r="AG562" s="161"/>
      <c r="AH562" s="137"/>
      <c r="AI562" s="164" t="str">
        <f t="shared" si="66"/>
        <v/>
      </c>
      <c r="AJ562" s="189" t="str">
        <f>IF(AND(OpenPendingCases[[#This Row],[Sale Status	]]="Open Sale",OpenPendingCases[[#This Row],[Potential Same Month]]="High"),TEXT(OpenPendingCases[[#This Row],[Request Entry Date]], "[$-en-us]mmmm"),"")</f>
        <v/>
      </c>
      <c r="AK562" s="165" t="str">
        <f>IFERROR(VALUE(SUBSTITUTE(OpenPendingCases[[#This Row],[Price]]," AED","")),"")</f>
        <v/>
      </c>
      <c r="AL562" s="165" t="str">
        <f>IFERROR(VALUE(LEFT(OpenPendingCases[[#This Row],[Price]],FIND(" ",OpenPendingCases[[#This Row],[Price]])-1)),"")</f>
        <v/>
      </c>
      <c r="AM562" s="165" t="str">
        <f>IFERROR(VALUE(_xlfn.TEXTBEFORE(OpenPendingCases[[#This Row],[Price]]," AED")),"")</f>
        <v/>
      </c>
      <c r="AN562" s="165"/>
    </row>
    <row r="563" spans="3:40" ht="18" hidden="1" x14ac:dyDescent="0.3">
      <c r="C563" s="134"/>
      <c r="D563" s="137" t="str">
        <f>IF($U563="Open", IF(MAX($D$4:D562)+1=0, "", MAX($D$4:D562)+1), "")</f>
        <v/>
      </c>
      <c r="E563" s="137" t="str">
        <f>IF($U563="Pending Allocation", IF(MAX($E$4:E562)+1=0, "", MAX($E$4:E562)+1), "")</f>
        <v/>
      </c>
      <c r="F563" s="137"/>
      <c r="G563" s="137"/>
      <c r="H563" s="150"/>
      <c r="I563" s="150"/>
      <c r="J563" s="151" t="str">
        <f>IF(OpenPendingCases[[#This Row],[Timepiece Reference ]]="", "", IF(_xlfn.XLOOKUP(OpenPendingCases[[#This Row],[Timepiece Reference ]], Table1[[Timepiece Reference ]], Table1[CRC STOCK], "Not Found")="YES", "CRC Stock", "Boutique Stock"))</f>
        <v/>
      </c>
      <c r="K563" s="137" t="str">
        <f>IF(OpenPendingCases[[#This Row],[Timepiece Reference ]]="", "", IF(_xlfn.XLOOKUP(OpenPendingCases[[#This Row],[Timepiece Reference ]], Table1[[Timepiece Reference ]], Table1[CRC STOCK], "Not Found")="YES", "CRC Stock", "Boutique Stock"))</f>
        <v/>
      </c>
      <c r="L563" s="143"/>
      <c r="M563" s="141"/>
      <c r="N563" s="137"/>
      <c r="O563" s="134"/>
      <c r="P563" s="137" t="str">
        <f>IFERROR(VLOOKUP(TRIM(O563), Collection!$B$2:$D$1001, 2, FALSE), "")</f>
        <v/>
      </c>
      <c r="Q563" s="184" t="str">
        <f>IFERROR(VLOOKUP(TRIM(O563), Collection!$B$2:$D$1001, 3, FALSE), "")</f>
        <v/>
      </c>
      <c r="R563" s="153" t="str">
        <f t="shared" si="73"/>
        <v/>
      </c>
      <c r="S563" s="168"/>
      <c r="T563" s="183"/>
      <c r="U563" s="137"/>
      <c r="V563" s="137"/>
      <c r="W563" s="167" t="str">
        <f t="shared" si="74"/>
        <v/>
      </c>
      <c r="X563" s="157"/>
      <c r="Y563" s="158"/>
      <c r="Z563" s="158"/>
      <c r="AA563" s="137" t="str">
        <f t="shared" ca="1" si="75"/>
        <v/>
      </c>
      <c r="AB563" s="137" t="str">
        <f t="shared" ca="1" si="76"/>
        <v/>
      </c>
      <c r="AC563" s="160" t="str">
        <f t="shared" ca="1" si="77"/>
        <v/>
      </c>
      <c r="AD563" s="159" t="str">
        <f t="shared" ca="1" si="78"/>
        <v/>
      </c>
      <c r="AE563" s="161"/>
      <c r="AF563" s="161"/>
      <c r="AG563" s="161"/>
      <c r="AH563" s="137"/>
      <c r="AI563" s="164" t="str">
        <f t="shared" si="66"/>
        <v/>
      </c>
      <c r="AJ563" s="189" t="str">
        <f>IF(AND(OpenPendingCases[[#This Row],[Sale Status	]]="Open Sale",OpenPendingCases[[#This Row],[Potential Same Month]]="High"),TEXT(OpenPendingCases[[#This Row],[Request Entry Date]], "[$-en-us]mmmm"),"")</f>
        <v/>
      </c>
      <c r="AK563" s="165" t="str">
        <f>IFERROR(VALUE(SUBSTITUTE(OpenPendingCases[[#This Row],[Price]]," AED","")),"")</f>
        <v/>
      </c>
      <c r="AL563" s="165" t="str">
        <f>IFERROR(VALUE(LEFT(OpenPendingCases[[#This Row],[Price]],FIND(" ",OpenPendingCases[[#This Row],[Price]])-1)),"")</f>
        <v/>
      </c>
      <c r="AM563" s="165" t="str">
        <f>IFERROR(VALUE(_xlfn.TEXTBEFORE(OpenPendingCases[[#This Row],[Price]]," AED")),"")</f>
        <v/>
      </c>
      <c r="AN563" s="165"/>
    </row>
    <row r="564" spans="3:40" ht="18" hidden="1" x14ac:dyDescent="0.3">
      <c r="C564" s="134"/>
      <c r="D564" s="137" t="str">
        <f>IF($U564="Open", IF(MAX($D$4:D563)+1=0, "", MAX($D$4:D563)+1), "")</f>
        <v/>
      </c>
      <c r="E564" s="137" t="str">
        <f>IF($U564="Pending Allocation", IF(MAX($E$4:E563)+1=0, "", MAX($E$4:E563)+1), "")</f>
        <v/>
      </c>
      <c r="F564" s="137"/>
      <c r="G564" s="137"/>
      <c r="H564" s="150"/>
      <c r="I564" s="150"/>
      <c r="J564" s="151" t="str">
        <f>IF(OpenPendingCases[[#This Row],[Timepiece Reference ]]="", "", IF(_xlfn.XLOOKUP(OpenPendingCases[[#This Row],[Timepiece Reference ]], Table1[[Timepiece Reference ]], Table1[CRC STOCK], "Not Found")="YES", "CRC Stock", "Boutique Stock"))</f>
        <v/>
      </c>
      <c r="K564" s="137" t="str">
        <f>IF(OpenPendingCases[[#This Row],[Timepiece Reference ]]="", "", IF(_xlfn.XLOOKUP(OpenPendingCases[[#This Row],[Timepiece Reference ]], Table1[[Timepiece Reference ]], Table1[CRC STOCK], "Not Found")="YES", "CRC Stock", "Boutique Stock"))</f>
        <v/>
      </c>
      <c r="L564" s="143"/>
      <c r="M564" s="141"/>
      <c r="N564" s="137"/>
      <c r="O564" s="134"/>
      <c r="P564" s="137" t="str">
        <f>IFERROR(VLOOKUP(TRIM(O564), Collection!$B$2:$D$1001, 2, FALSE), "")</f>
        <v/>
      </c>
      <c r="Q564" s="184" t="str">
        <f>IFERROR(VLOOKUP(TRIM(O564), Collection!$B$2:$D$1001, 3, FALSE), "")</f>
        <v/>
      </c>
      <c r="R564" s="153" t="str">
        <f t="shared" si="73"/>
        <v/>
      </c>
      <c r="S564" s="168"/>
      <c r="T564" s="183"/>
      <c r="U564" s="137"/>
      <c r="V564" s="137"/>
      <c r="W564" s="167" t="str">
        <f t="shared" si="74"/>
        <v/>
      </c>
      <c r="X564" s="157"/>
      <c r="Y564" s="158"/>
      <c r="Z564" s="158"/>
      <c r="AA564" s="137" t="str">
        <f t="shared" ca="1" si="75"/>
        <v/>
      </c>
      <c r="AB564" s="137" t="str">
        <f t="shared" ca="1" si="76"/>
        <v/>
      </c>
      <c r="AC564" s="160" t="str">
        <f t="shared" ca="1" si="77"/>
        <v/>
      </c>
      <c r="AD564" s="159" t="str">
        <f t="shared" ca="1" si="78"/>
        <v/>
      </c>
      <c r="AE564" s="161"/>
      <c r="AF564" s="161"/>
      <c r="AG564" s="161"/>
      <c r="AH564" s="137"/>
      <c r="AI564" s="164" t="str">
        <f t="shared" si="66"/>
        <v/>
      </c>
      <c r="AJ564" s="189" t="str">
        <f>IF(AND(OpenPendingCases[[#This Row],[Sale Status	]]="Open Sale",OpenPendingCases[[#This Row],[Potential Same Month]]="High"),TEXT(OpenPendingCases[[#This Row],[Request Entry Date]], "[$-en-us]mmmm"),"")</f>
        <v/>
      </c>
      <c r="AK564" s="165" t="str">
        <f>IFERROR(VALUE(SUBSTITUTE(OpenPendingCases[[#This Row],[Price]]," AED","")),"")</f>
        <v/>
      </c>
      <c r="AL564" s="165" t="str">
        <f>IFERROR(VALUE(LEFT(OpenPendingCases[[#This Row],[Price]],FIND(" ",OpenPendingCases[[#This Row],[Price]])-1)),"")</f>
        <v/>
      </c>
      <c r="AM564" s="165" t="str">
        <f>IFERROR(VALUE(_xlfn.TEXTBEFORE(OpenPendingCases[[#This Row],[Price]]," AED")),"")</f>
        <v/>
      </c>
      <c r="AN564" s="165"/>
    </row>
    <row r="565" spans="3:40" ht="18" hidden="1" x14ac:dyDescent="0.3">
      <c r="C565" s="134"/>
      <c r="D565" s="137" t="str">
        <f>IF($U565="Open", IF(MAX($D$4:D564)+1=0, "", MAX($D$4:D564)+1), "")</f>
        <v/>
      </c>
      <c r="E565" s="137" t="str">
        <f>IF($U565="Pending Allocation", IF(MAX($E$4:E564)+1=0, "", MAX($E$4:E564)+1), "")</f>
        <v/>
      </c>
      <c r="F565" s="137"/>
      <c r="G565" s="137"/>
      <c r="H565" s="150"/>
      <c r="I565" s="150"/>
      <c r="J565" s="151" t="str">
        <f>IF(OpenPendingCases[[#This Row],[Timepiece Reference ]]="", "", IF(_xlfn.XLOOKUP(OpenPendingCases[[#This Row],[Timepiece Reference ]], Table1[[Timepiece Reference ]], Table1[CRC STOCK], "Not Found")="YES", "CRC Stock", "Boutique Stock"))</f>
        <v/>
      </c>
      <c r="K565" s="137" t="str">
        <f>IF(OpenPendingCases[[#This Row],[Timepiece Reference ]]="", "", IF(_xlfn.XLOOKUP(OpenPendingCases[[#This Row],[Timepiece Reference ]], Table1[[Timepiece Reference ]], Table1[CRC STOCK], "Not Found")="YES", "CRC Stock", "Boutique Stock"))</f>
        <v/>
      </c>
      <c r="L565" s="143"/>
      <c r="M565" s="141"/>
      <c r="N565" s="137"/>
      <c r="O565" s="134"/>
      <c r="P565" s="137" t="str">
        <f>IFERROR(VLOOKUP(TRIM(O565), Collection!$B$2:$D$1001, 2, FALSE), "")</f>
        <v/>
      </c>
      <c r="Q565" s="184" t="str">
        <f>IFERROR(VLOOKUP(TRIM(O565), Collection!$B$2:$D$1001, 3, FALSE), "")</f>
        <v/>
      </c>
      <c r="R565" s="153" t="str">
        <f t="shared" si="73"/>
        <v/>
      </c>
      <c r="S565" s="168"/>
      <c r="T565" s="183"/>
      <c r="U565" s="137"/>
      <c r="V565" s="137"/>
      <c r="W565" s="167" t="str">
        <f t="shared" si="74"/>
        <v/>
      </c>
      <c r="X565" s="157"/>
      <c r="Y565" s="158"/>
      <c r="Z565" s="158"/>
      <c r="AA565" s="137" t="str">
        <f t="shared" ca="1" si="75"/>
        <v/>
      </c>
      <c r="AB565" s="137" t="str">
        <f t="shared" ca="1" si="76"/>
        <v/>
      </c>
      <c r="AC565" s="160" t="str">
        <f t="shared" ca="1" si="77"/>
        <v/>
      </c>
      <c r="AD565" s="159" t="str">
        <f t="shared" ca="1" si="78"/>
        <v/>
      </c>
      <c r="AE565" s="161"/>
      <c r="AF565" s="161"/>
      <c r="AG565" s="161"/>
      <c r="AH565" s="137"/>
      <c r="AI565" s="164" t="str">
        <f t="shared" si="66"/>
        <v/>
      </c>
      <c r="AJ565" s="189" t="str">
        <f>IF(AND(OpenPendingCases[[#This Row],[Sale Status	]]="Open Sale",OpenPendingCases[[#This Row],[Potential Same Month]]="High"),TEXT(OpenPendingCases[[#This Row],[Request Entry Date]], "[$-en-us]mmmm"),"")</f>
        <v/>
      </c>
      <c r="AK565" s="165" t="str">
        <f>IFERROR(VALUE(SUBSTITUTE(OpenPendingCases[[#This Row],[Price]]," AED","")),"")</f>
        <v/>
      </c>
      <c r="AL565" s="165" t="str">
        <f>IFERROR(VALUE(LEFT(OpenPendingCases[[#This Row],[Price]],FIND(" ",OpenPendingCases[[#This Row],[Price]])-1)),"")</f>
        <v/>
      </c>
      <c r="AM565" s="165" t="str">
        <f>IFERROR(VALUE(_xlfn.TEXTBEFORE(OpenPendingCases[[#This Row],[Price]]," AED")),"")</f>
        <v/>
      </c>
      <c r="AN565" s="165"/>
    </row>
    <row r="566" spans="3:40" ht="18" hidden="1" x14ac:dyDescent="0.3">
      <c r="C566" s="134"/>
      <c r="D566" s="137" t="str">
        <f>IF($U566="Open", IF(MAX($D$4:D565)+1=0, "", MAX($D$4:D565)+1), "")</f>
        <v/>
      </c>
      <c r="E566" s="137" t="str">
        <f>IF($U566="Pending Allocation", IF(MAX($E$4:E565)+1=0, "", MAX($E$4:E565)+1), "")</f>
        <v/>
      </c>
      <c r="F566" s="137"/>
      <c r="G566" s="137"/>
      <c r="H566" s="150"/>
      <c r="I566" s="150"/>
      <c r="J566" s="151" t="str">
        <f>IF(OpenPendingCases[[#This Row],[Timepiece Reference ]]="", "", IF(_xlfn.XLOOKUP(OpenPendingCases[[#This Row],[Timepiece Reference ]], Table1[[Timepiece Reference ]], Table1[CRC STOCK], "Not Found")="YES", "CRC Stock", "Boutique Stock"))</f>
        <v/>
      </c>
      <c r="K566" s="137" t="str">
        <f>IF(OpenPendingCases[[#This Row],[Timepiece Reference ]]="", "", IF(_xlfn.XLOOKUP(OpenPendingCases[[#This Row],[Timepiece Reference ]], Table1[[Timepiece Reference ]], Table1[CRC STOCK], "Not Found")="YES", "CRC Stock", "Boutique Stock"))</f>
        <v/>
      </c>
      <c r="L566" s="143"/>
      <c r="M566" s="141"/>
      <c r="N566" s="137"/>
      <c r="O566" s="134"/>
      <c r="P566" s="137" t="str">
        <f>IFERROR(VLOOKUP(TRIM(O566), Collection!$B$2:$D$1001, 2, FALSE), "")</f>
        <v/>
      </c>
      <c r="Q566" s="184" t="str">
        <f>IFERROR(VLOOKUP(TRIM(O566), Collection!$B$2:$D$1001, 3, FALSE), "")</f>
        <v/>
      </c>
      <c r="R566" s="153" t="str">
        <f t="shared" si="73"/>
        <v/>
      </c>
      <c r="S566" s="168"/>
      <c r="T566" s="183"/>
      <c r="U566" s="137"/>
      <c r="V566" s="137"/>
      <c r="W566" s="167" t="str">
        <f t="shared" si="74"/>
        <v/>
      </c>
      <c r="X566" s="157"/>
      <c r="Y566" s="158"/>
      <c r="Z566" s="158"/>
      <c r="AA566" s="137" t="str">
        <f t="shared" ca="1" si="75"/>
        <v/>
      </c>
      <c r="AB566" s="137" t="str">
        <f t="shared" ca="1" si="76"/>
        <v/>
      </c>
      <c r="AC566" s="160" t="str">
        <f t="shared" ca="1" si="77"/>
        <v/>
      </c>
      <c r="AD566" s="159" t="str">
        <f t="shared" ca="1" si="78"/>
        <v/>
      </c>
      <c r="AE566" s="161"/>
      <c r="AF566" s="161"/>
      <c r="AG566" s="161"/>
      <c r="AH566" s="137"/>
      <c r="AI566" s="164" t="str">
        <f t="shared" si="66"/>
        <v/>
      </c>
      <c r="AJ566" s="189" t="str">
        <f>IF(AND(OpenPendingCases[[#This Row],[Sale Status	]]="Open Sale",OpenPendingCases[[#This Row],[Potential Same Month]]="High"),TEXT(OpenPendingCases[[#This Row],[Request Entry Date]], "[$-en-us]mmmm"),"")</f>
        <v/>
      </c>
      <c r="AK566" s="165" t="str">
        <f>IFERROR(VALUE(SUBSTITUTE(OpenPendingCases[[#This Row],[Price]]," AED","")),"")</f>
        <v/>
      </c>
      <c r="AL566" s="165" t="str">
        <f>IFERROR(VALUE(LEFT(OpenPendingCases[[#This Row],[Price]],FIND(" ",OpenPendingCases[[#This Row],[Price]])-1)),"")</f>
        <v/>
      </c>
      <c r="AM566" s="165" t="str">
        <f>IFERROR(VALUE(_xlfn.TEXTBEFORE(OpenPendingCases[[#This Row],[Price]]," AED")),"")</f>
        <v/>
      </c>
      <c r="AN566" s="165"/>
    </row>
    <row r="567" spans="3:40" ht="18" hidden="1" x14ac:dyDescent="0.3">
      <c r="C567" s="134"/>
      <c r="D567" s="137" t="str">
        <f>IF($U567="Open", IF(MAX($D$4:D566)+1=0, "", MAX($D$4:D566)+1), "")</f>
        <v/>
      </c>
      <c r="E567" s="137" t="str">
        <f>IF($U567="Pending Allocation", IF(MAX($E$4:E566)+1=0, "", MAX($E$4:E566)+1), "")</f>
        <v/>
      </c>
      <c r="F567" s="137"/>
      <c r="G567" s="137"/>
      <c r="H567" s="150"/>
      <c r="I567" s="150"/>
      <c r="J567" s="151" t="str">
        <f>IF(OpenPendingCases[[#This Row],[Timepiece Reference ]]="", "", IF(_xlfn.XLOOKUP(OpenPendingCases[[#This Row],[Timepiece Reference ]], Table1[[Timepiece Reference ]], Table1[CRC STOCK], "Not Found")="YES", "CRC Stock", "Boutique Stock"))</f>
        <v/>
      </c>
      <c r="K567" s="137" t="str">
        <f>IF(OpenPendingCases[[#This Row],[Timepiece Reference ]]="", "", IF(_xlfn.XLOOKUP(OpenPendingCases[[#This Row],[Timepiece Reference ]], Table1[[Timepiece Reference ]], Table1[CRC STOCK], "Not Found")="YES", "CRC Stock", "Boutique Stock"))</f>
        <v/>
      </c>
      <c r="L567" s="143"/>
      <c r="M567" s="141"/>
      <c r="N567" s="137"/>
      <c r="O567" s="134"/>
      <c r="P567" s="137" t="str">
        <f>IFERROR(VLOOKUP(TRIM(O567), Collection!$B$2:$D$1001, 2, FALSE), "")</f>
        <v/>
      </c>
      <c r="Q567" s="184" t="str">
        <f>IFERROR(VLOOKUP(TRIM(O567), Collection!$B$2:$D$1001, 3, FALSE), "")</f>
        <v/>
      </c>
      <c r="R567" s="153" t="str">
        <f t="shared" si="73"/>
        <v/>
      </c>
      <c r="S567" s="168"/>
      <c r="T567" s="183"/>
      <c r="U567" s="137"/>
      <c r="V567" s="137"/>
      <c r="W567" s="167" t="str">
        <f t="shared" si="74"/>
        <v/>
      </c>
      <c r="X567" s="157"/>
      <c r="Y567" s="158"/>
      <c r="Z567" s="158"/>
      <c r="AA567" s="137" t="str">
        <f t="shared" ca="1" si="75"/>
        <v/>
      </c>
      <c r="AB567" s="137" t="str">
        <f t="shared" ca="1" si="76"/>
        <v/>
      </c>
      <c r="AC567" s="160" t="str">
        <f t="shared" ca="1" si="77"/>
        <v/>
      </c>
      <c r="AD567" s="159" t="str">
        <f t="shared" ca="1" si="78"/>
        <v/>
      </c>
      <c r="AE567" s="161"/>
      <c r="AF567" s="161"/>
      <c r="AG567" s="161"/>
      <c r="AH567" s="137"/>
      <c r="AI567" s="164" t="str">
        <f t="shared" si="66"/>
        <v/>
      </c>
      <c r="AJ567" s="189" t="str">
        <f>IF(AND(OpenPendingCases[[#This Row],[Sale Status	]]="Open Sale",OpenPendingCases[[#This Row],[Potential Same Month]]="High"),TEXT(OpenPendingCases[[#This Row],[Request Entry Date]], "[$-en-us]mmmm"),"")</f>
        <v/>
      </c>
      <c r="AK567" s="165" t="str">
        <f>IFERROR(VALUE(SUBSTITUTE(OpenPendingCases[[#This Row],[Price]]," AED","")),"")</f>
        <v/>
      </c>
      <c r="AL567" s="165" t="str">
        <f>IFERROR(VALUE(LEFT(OpenPendingCases[[#This Row],[Price]],FIND(" ",OpenPendingCases[[#This Row],[Price]])-1)),"")</f>
        <v/>
      </c>
      <c r="AM567" s="165" t="str">
        <f>IFERROR(VALUE(_xlfn.TEXTBEFORE(OpenPendingCases[[#This Row],[Price]]," AED")),"")</f>
        <v/>
      </c>
      <c r="AN567" s="165"/>
    </row>
    <row r="568" spans="3:40" ht="18" hidden="1" x14ac:dyDescent="0.3">
      <c r="C568" s="136">
        <v>32</v>
      </c>
      <c r="D568" s="138" t="str">
        <f>IF($U568="Open", IF(MAX($D$4:D567)+1=0, "", MAX($D$4:D567)+1), "")</f>
        <v/>
      </c>
      <c r="E568" s="138" t="str">
        <f>IF($U568="Pending Allocation", IF(MAX($E$4:E567)+1=0, "", MAX($E$4:E567)+1), "")</f>
        <v/>
      </c>
      <c r="F568" s="138" t="s">
        <v>13</v>
      </c>
      <c r="G568" s="138"/>
      <c r="H568" s="171"/>
      <c r="I568" s="171"/>
      <c r="J568" s="172" t="str">
        <f>IF(OpenPendingCases[[#This Row],[Timepiece Reference ]]="", "", IF(_xlfn.XLOOKUP(OpenPendingCases[[#This Row],[Timepiece Reference ]], Table1[[Timepiece Reference ]], Table1[CRC STOCK], "Not Found")="YES", "CRC Stock", "Boutique Stock"))</f>
        <v/>
      </c>
      <c r="K568" s="138" t="str">
        <f>IF(OpenPendingCases[[#This Row],[Timepiece Reference ]]="", "", IF(_xlfn.XLOOKUP(OpenPendingCases[[#This Row],[Timepiece Reference ]], Table1[[Timepiece Reference ]], Table1[CRC STOCK], "Not Found")="YES", "CRC Stock", "Boutique Stock"))</f>
        <v/>
      </c>
      <c r="L568" s="205"/>
      <c r="M568" s="142"/>
      <c r="N568" s="206"/>
      <c r="O568" s="136"/>
      <c r="P568" s="138" t="str">
        <f>IFERROR(VLOOKUP(TRIM(O568), Collection!$B$2:$D$1001, 2, FALSE), "")</f>
        <v/>
      </c>
      <c r="Q568" s="187" t="str">
        <f>IFERROR(VLOOKUP(TRIM(O568), Collection!$B$2:$D$1001, 3, FALSE), "")</f>
        <v/>
      </c>
      <c r="R568" s="173" t="str">
        <f>IFERROR(VALUE(SUBSTITUTE(SUBSTITUTE(Q568, "Price", ""), "AED", "")), "")</f>
        <v/>
      </c>
      <c r="S568" s="174"/>
      <c r="T568" s="185"/>
      <c r="U568" s="138"/>
      <c r="V568" s="138"/>
      <c r="W568" s="186" t="str">
        <f xml:space="preserve"> IF(Z568 = "",
     "",
     TEXT(Z568, "mmmm"))</f>
        <v/>
      </c>
      <c r="X568" s="188"/>
      <c r="Y568" s="175"/>
      <c r="Z568" s="175"/>
      <c r="AA568" s="138" t="str">
        <f ca="1">IF(H568="", "", IF(U568="Open Sale", IF(TODAY()-H568=0, "0 Days", TEXT(TODAY()-H568, "0") &amp; " Days"), IF(U568="Closed Sale", AA568, "")))</f>
        <v/>
      </c>
      <c r="AB568" s="138" t="str">
        <f ca="1">IF(H568="", "", IF(OR(U568="Pending", U568="Pending Allocation"), CONCATENATE(TODAY()-H568, " Days"), IF(U568="Closed", "", "")))</f>
        <v/>
      </c>
      <c r="AC568" s="176" t="str">
        <f ca="1">IF(U568="Pending Allocation", IF(I568="", "", TODAY()-I568), "")</f>
        <v/>
      </c>
      <c r="AD568" s="177" t="str">
        <f ca="1">IF(U568="Open Sale", TEXT(TODAY()-I568, "0"),
   IF(U568="Pending", "",
      IF(U568="Closed Sale", "", "")))</f>
        <v/>
      </c>
      <c r="AE568" s="178"/>
      <c r="AF568" s="178"/>
      <c r="AG568" s="178"/>
      <c r="AH568" s="138"/>
      <c r="AI568" s="207" t="str">
        <f>TEXT(I568, "mmmm yyyy")</f>
        <v>January 1900</v>
      </c>
      <c r="AJ568" s="208" t="str">
        <f>IF(AND(OpenPendingCases[[#This Row],[Sale Status	]]="Open Sale",OpenPendingCases[[#This Row],[Potential Same Month]]="High"),TEXT(OpenPendingCases[[#This Row],[Request Entry Date]], "[$-en-us]mmmm"),"")</f>
        <v/>
      </c>
      <c r="AK568" s="165" t="str">
        <f>IFERROR(VALUE(SUBSTITUTE(OpenPendingCases[[#This Row],[Price]]," AED","")),"")</f>
        <v/>
      </c>
      <c r="AL568" s="165" t="str">
        <f>IFERROR(VALUE(LEFT(OpenPendingCases[[#This Row],[Price]],FIND(" ",OpenPendingCases[[#This Row],[Price]])-1)),"")</f>
        <v/>
      </c>
      <c r="AM568" s="165" t="str">
        <f>IFERROR(VALUE(_xlfn.TEXTBEFORE(OpenPendingCases[[#This Row],[Price]]," AED")),"")</f>
        <v/>
      </c>
      <c r="AN568" s="165"/>
    </row>
    <row r="569" spans="3:40" ht="18" hidden="1" x14ac:dyDescent="0.3">
      <c r="C569" s="136">
        <v>32</v>
      </c>
      <c r="D569" s="138" t="str">
        <f>IF($U10="Open", IF(MAX($D$4:D568)+1=0, "", MAX($D$4:D568)+1), "")</f>
        <v/>
      </c>
      <c r="E569" s="138">
        <f>IF($U10="Pending Allocation", IF(MAX($E$4:E568)+1=0, "", MAX($E$4:E568)+1), "")</f>
        <v>7</v>
      </c>
      <c r="F569" s="134" t="s">
        <v>13</v>
      </c>
      <c r="G569" s="138"/>
      <c r="H569" s="171"/>
      <c r="I569" s="171"/>
      <c r="J569" s="172"/>
      <c r="K569" s="138"/>
      <c r="L569" s="205"/>
      <c r="M569" s="142"/>
      <c r="N569" s="206"/>
      <c r="O569" s="136"/>
      <c r="P569" s="138"/>
      <c r="Q569" s="187"/>
      <c r="R569" s="173"/>
      <c r="S569" s="174"/>
      <c r="T569" s="185"/>
      <c r="U569" s="138"/>
      <c r="V569" s="138"/>
      <c r="W569" s="186"/>
      <c r="X569" s="188"/>
      <c r="Y569" s="175"/>
      <c r="Z569" s="175"/>
      <c r="AA569" s="138"/>
      <c r="AB569" s="138"/>
      <c r="AC569" s="176"/>
      <c r="AD569" s="177"/>
      <c r="AE569" s="178"/>
      <c r="AF569" s="178"/>
      <c r="AG569" s="178"/>
      <c r="AH569" s="138"/>
      <c r="AI569" s="207" t="str">
        <f>TEXT(I10, "mmmm yyyy")</f>
        <v>June 2025</v>
      </c>
      <c r="AJ569" s="208" t="str">
        <f>IF(AND(OpenPendingCases[[#This Row],[Sale Status	]]="Open Sale",OpenPendingCases[[#This Row],[Potential Same Month]]="High"),TEXT(OpenPendingCases[[#This Row],[Request Entry Date]], "[$-en-us]mmmm"),"")</f>
        <v/>
      </c>
      <c r="AK569" s="165" t="str">
        <f>IFERROR(VALUE(SUBSTITUTE(OpenPendingCases[[#This Row],[Price]]," AED","")),"")</f>
        <v/>
      </c>
      <c r="AL569" s="165" t="str">
        <f>IFERROR(VALUE(LEFT(OpenPendingCases[[#This Row],[Price]],FIND(" ",OpenPendingCases[[#This Row],[Price]])-1)),"")</f>
        <v/>
      </c>
      <c r="AM569" s="165" t="str">
        <f>IFERROR(VALUE(_xlfn.TEXTBEFORE(OpenPendingCases[[#This Row],[Price]]," AED")),"")</f>
        <v/>
      </c>
      <c r="AN569" s="138"/>
    </row>
    <row r="570" spans="3:40" ht="15.6" x14ac:dyDescent="0.3">
      <c r="C570" s="210"/>
      <c r="F570" s="211"/>
      <c r="G570" s="212"/>
      <c r="H570" s="213"/>
      <c r="I570" s="213"/>
      <c r="J570" s="213"/>
      <c r="K570" s="213"/>
      <c r="L570" s="214"/>
      <c r="M570" s="215"/>
      <c r="N570" s="216"/>
      <c r="O570" s="217"/>
      <c r="P570" s="217"/>
      <c r="Q570" s="213"/>
      <c r="S570" s="218"/>
      <c r="T570" s="219"/>
      <c r="U570" s="220"/>
      <c r="V570" s="220"/>
      <c r="W570" s="213"/>
      <c r="X570" s="217"/>
      <c r="Y570" s="217"/>
      <c r="Z570" s="217"/>
      <c r="AE570" s="217"/>
      <c r="AF570" s="217"/>
      <c r="AG570" s="217"/>
      <c r="AH570" s="217"/>
      <c r="AN570" s="212"/>
    </row>
    <row r="571" spans="3:40" ht="15.6" x14ac:dyDescent="0.3">
      <c r="C571" s="210"/>
      <c r="F571" s="211"/>
      <c r="G571" s="212"/>
      <c r="H571" s="213"/>
      <c r="I571" s="213"/>
      <c r="J571" s="213"/>
      <c r="K571" s="213"/>
      <c r="L571" s="214"/>
      <c r="M571" s="215"/>
      <c r="N571" s="216"/>
      <c r="O571" s="217"/>
      <c r="P571" s="217"/>
      <c r="Q571" s="213"/>
      <c r="S571" s="218"/>
      <c r="T571" s="219"/>
      <c r="U571" s="220"/>
      <c r="V571" s="220"/>
      <c r="W571" s="213"/>
      <c r="X571" s="217"/>
      <c r="Y571" s="217"/>
      <c r="Z571" s="217"/>
      <c r="AE571" s="217"/>
      <c r="AF571" s="217"/>
      <c r="AG571" s="217"/>
      <c r="AH571" s="217"/>
      <c r="AN571" s="212"/>
    </row>
    <row r="572" spans="3:40" ht="15.6" x14ac:dyDescent="0.3">
      <c r="C572" s="210"/>
      <c r="F572" s="211"/>
      <c r="G572" s="212"/>
      <c r="H572" s="213"/>
      <c r="I572" s="213"/>
      <c r="J572" s="213"/>
      <c r="K572" s="213"/>
      <c r="L572" s="214"/>
      <c r="M572" s="215"/>
      <c r="N572" s="216"/>
      <c r="O572" s="217"/>
      <c r="P572" s="217"/>
      <c r="S572" s="218"/>
      <c r="T572" s="219"/>
      <c r="U572" s="220"/>
      <c r="V572" s="220"/>
      <c r="W572" s="213"/>
      <c r="X572" s="217"/>
      <c r="Y572" s="217"/>
      <c r="Z572" s="217"/>
      <c r="AE572" s="217"/>
      <c r="AF572" s="217"/>
      <c r="AG572" s="217"/>
      <c r="AH572" s="217"/>
      <c r="AN572" s="212"/>
    </row>
    <row r="573" spans="3:40" ht="15.6" x14ac:dyDescent="0.3">
      <c r="C573" s="39"/>
      <c r="F573" s="32"/>
      <c r="Q573" s="213"/>
    </row>
    <row r="574" spans="3:40" ht="15.6" x14ac:dyDescent="0.3">
      <c r="C574" s="39"/>
      <c r="F574" s="32"/>
    </row>
    <row r="575" spans="3:40" ht="15.6" x14ac:dyDescent="0.3">
      <c r="C575" s="39"/>
      <c r="F575" s="32"/>
    </row>
    <row r="576" spans="3:40" ht="15.6" x14ac:dyDescent="0.3">
      <c r="C576" s="39"/>
      <c r="F576" s="32"/>
    </row>
    <row r="577" spans="3:15" ht="15.6" x14ac:dyDescent="0.3">
      <c r="C577" s="39"/>
      <c r="F577" s="32"/>
    </row>
    <row r="578" spans="3:15" ht="15.6" x14ac:dyDescent="0.3">
      <c r="C578" s="39"/>
      <c r="F578" s="32"/>
    </row>
    <row r="579" spans="3:15" ht="15.6" x14ac:dyDescent="0.3">
      <c r="C579" s="39"/>
      <c r="F579" s="32"/>
    </row>
    <row r="580" spans="3:15" ht="15.6" x14ac:dyDescent="0.3">
      <c r="C580" s="39"/>
      <c r="F580" s="32"/>
    </row>
    <row r="581" spans="3:15" ht="18" x14ac:dyDescent="0.3">
      <c r="C581" s="39"/>
      <c r="F581" s="32"/>
      <c r="O581" s="221"/>
    </row>
    <row r="582" spans="3:15" ht="18" x14ac:dyDescent="0.3">
      <c r="C582" s="39"/>
      <c r="F582" s="32"/>
      <c r="O582" s="203"/>
    </row>
    <row r="583" spans="3:15" ht="18" x14ac:dyDescent="0.3">
      <c r="C583" s="39"/>
      <c r="F583" s="32"/>
      <c r="O583" s="203"/>
    </row>
    <row r="584" spans="3:15" ht="14.4" x14ac:dyDescent="0.3">
      <c r="F584" s="32"/>
    </row>
    <row r="585" spans="3:15" ht="14.4" x14ac:dyDescent="0.3">
      <c r="F585" s="32"/>
    </row>
    <row r="586" spans="3:15" ht="14.4" x14ac:dyDescent="0.3">
      <c r="F586" s="32"/>
    </row>
    <row r="587" spans="3:15" ht="14.4" x14ac:dyDescent="0.3">
      <c r="F587" s="32"/>
    </row>
    <row r="588" spans="3:15" ht="14.4" x14ac:dyDescent="0.3">
      <c r="F588" s="32"/>
    </row>
    <row r="589" spans="3:15" ht="14.4" x14ac:dyDescent="0.3">
      <c r="F589" s="32"/>
    </row>
    <row r="590" spans="3:15" ht="14.4" x14ac:dyDescent="0.3">
      <c r="F590" s="32"/>
    </row>
    <row r="591" spans="3:15" ht="14.4" x14ac:dyDescent="0.3">
      <c r="F591" s="32"/>
    </row>
    <row r="592" spans="3:15" ht="14.4" x14ac:dyDescent="0.3">
      <c r="F592" s="32"/>
    </row>
    <row r="593" spans="6:6" ht="14.4" x14ac:dyDescent="0.3">
      <c r="F593" s="32"/>
    </row>
    <row r="594" spans="6:6" ht="14.4" x14ac:dyDescent="0.3">
      <c r="F594" s="32"/>
    </row>
    <row r="595" spans="6:6" ht="14.4" x14ac:dyDescent="0.3">
      <c r="F595" s="32"/>
    </row>
    <row r="596" spans="6:6" ht="14.4" x14ac:dyDescent="0.3">
      <c r="F596" s="32"/>
    </row>
    <row r="597" spans="6:6" ht="14.4" x14ac:dyDescent="0.3">
      <c r="F597" s="32"/>
    </row>
    <row r="598" spans="6:6" ht="14.4" x14ac:dyDescent="0.3">
      <c r="F598" s="32"/>
    </row>
    <row r="599" spans="6:6" ht="14.4" x14ac:dyDescent="0.3">
      <c r="F599" s="32"/>
    </row>
    <row r="600" spans="6:6" ht="14.4" x14ac:dyDescent="0.3">
      <c r="F600" s="32"/>
    </row>
    <row r="601" spans="6:6" ht="14.4" x14ac:dyDescent="0.3">
      <c r="F601" s="32"/>
    </row>
    <row r="602" spans="6:6" ht="14.4" x14ac:dyDescent="0.3">
      <c r="F602" s="32"/>
    </row>
    <row r="603" spans="6:6" ht="14.4" x14ac:dyDescent="0.3">
      <c r="F603" s="32"/>
    </row>
    <row r="604" spans="6:6" ht="14.4" x14ac:dyDescent="0.3">
      <c r="F604" s="32"/>
    </row>
    <row r="605" spans="6:6" ht="14.4" x14ac:dyDescent="0.3">
      <c r="F605" s="32"/>
    </row>
    <row r="606" spans="6:6" ht="14.4" x14ac:dyDescent="0.3">
      <c r="F606" s="32"/>
    </row>
    <row r="607" spans="6:6" ht="14.4" x14ac:dyDescent="0.3">
      <c r="F607" s="32"/>
    </row>
    <row r="608" spans="6:6" ht="14.4" x14ac:dyDescent="0.3">
      <c r="F608" s="32"/>
    </row>
    <row r="609" spans="6:6" ht="14.4" x14ac:dyDescent="0.3">
      <c r="F609" s="32"/>
    </row>
    <row r="610" spans="6:6" ht="14.4" x14ac:dyDescent="0.3">
      <c r="F610" s="32"/>
    </row>
    <row r="611" spans="6:6" ht="14.4" x14ac:dyDescent="0.3">
      <c r="F611" s="32"/>
    </row>
    <row r="612" spans="6:6" ht="14.4" x14ac:dyDescent="0.3">
      <c r="F612" s="32"/>
    </row>
    <row r="613" spans="6:6" ht="14.4" x14ac:dyDescent="0.3">
      <c r="F613" s="32"/>
    </row>
    <row r="614" spans="6:6" ht="14.4" x14ac:dyDescent="0.3">
      <c r="F614" s="32"/>
    </row>
    <row r="615" spans="6:6" ht="14.4" x14ac:dyDescent="0.3">
      <c r="F615" s="32"/>
    </row>
    <row r="616" spans="6:6" ht="14.4" x14ac:dyDescent="0.3">
      <c r="F616" s="32"/>
    </row>
    <row r="617" spans="6:6" ht="14.4" x14ac:dyDescent="0.3">
      <c r="F617" s="32"/>
    </row>
    <row r="618" spans="6:6" ht="14.4" x14ac:dyDescent="0.3">
      <c r="F618" s="32"/>
    </row>
    <row r="619" spans="6:6" ht="14.4" x14ac:dyDescent="0.3">
      <c r="F619" s="32"/>
    </row>
    <row r="620" spans="6:6" ht="14.4" x14ac:dyDescent="0.3">
      <c r="F620" s="32"/>
    </row>
    <row r="621" spans="6:6" ht="14.4" x14ac:dyDescent="0.3">
      <c r="F621" s="32"/>
    </row>
    <row r="622" spans="6:6" ht="14.4" x14ac:dyDescent="0.3">
      <c r="F622" s="32"/>
    </row>
    <row r="623" spans="6:6" ht="14.4" x14ac:dyDescent="0.3">
      <c r="F623" s="32"/>
    </row>
    <row r="624" spans="6:6" ht="14.4" x14ac:dyDescent="0.3">
      <c r="F624" s="32"/>
    </row>
    <row r="625" spans="6:6" ht="14.4" x14ac:dyDescent="0.3">
      <c r="F625" s="32"/>
    </row>
    <row r="626" spans="6:6" ht="14.4" x14ac:dyDescent="0.3">
      <c r="F626" s="32"/>
    </row>
    <row r="627" spans="6:6" ht="14.4" x14ac:dyDescent="0.3">
      <c r="F627" s="32"/>
    </row>
    <row r="628" spans="6:6" ht="14.4" x14ac:dyDescent="0.3">
      <c r="F628" s="32"/>
    </row>
    <row r="629" spans="6:6" ht="14.4" x14ac:dyDescent="0.3">
      <c r="F629" s="32"/>
    </row>
    <row r="630" spans="6:6" ht="14.4" x14ac:dyDescent="0.3">
      <c r="F630" s="32"/>
    </row>
    <row r="631" spans="6:6" ht="14.4" x14ac:dyDescent="0.3">
      <c r="F631" s="32"/>
    </row>
    <row r="632" spans="6:6" ht="14.4" x14ac:dyDescent="0.3">
      <c r="F632" s="32"/>
    </row>
    <row r="633" spans="6:6" ht="14.4" x14ac:dyDescent="0.3">
      <c r="F633" s="32"/>
    </row>
    <row r="634" spans="6:6" ht="14.4" x14ac:dyDescent="0.3">
      <c r="F634" s="32"/>
    </row>
    <row r="635" spans="6:6" ht="14.4" x14ac:dyDescent="0.3">
      <c r="F635" s="32"/>
    </row>
    <row r="636" spans="6:6" ht="14.4" x14ac:dyDescent="0.3">
      <c r="F636" s="32"/>
    </row>
    <row r="637" spans="6:6" ht="14.4" x14ac:dyDescent="0.3">
      <c r="F637" s="32"/>
    </row>
    <row r="638" spans="6:6" ht="14.4" x14ac:dyDescent="0.3">
      <c r="F638" s="32"/>
    </row>
    <row r="639" spans="6:6" ht="14.4" x14ac:dyDescent="0.3">
      <c r="F639" s="32"/>
    </row>
    <row r="640" spans="6:6" ht="14.4" x14ac:dyDescent="0.3">
      <c r="F640" s="32"/>
    </row>
    <row r="641" spans="6:6" ht="14.4" x14ac:dyDescent="0.3">
      <c r="F641" s="32"/>
    </row>
    <row r="642" spans="6:6" ht="14.4" x14ac:dyDescent="0.3">
      <c r="F642" s="32"/>
    </row>
    <row r="643" spans="6:6" ht="14.4" x14ac:dyDescent="0.3">
      <c r="F643" s="32"/>
    </row>
    <row r="644" spans="6:6" ht="14.4" x14ac:dyDescent="0.3">
      <c r="F644" s="32"/>
    </row>
    <row r="645" spans="6:6" ht="14.4" x14ac:dyDescent="0.3">
      <c r="F645" s="32"/>
    </row>
    <row r="646" spans="6:6" ht="14.4" x14ac:dyDescent="0.3">
      <c r="F646" s="32"/>
    </row>
    <row r="647" spans="6:6" ht="14.4" x14ac:dyDescent="0.3">
      <c r="F647" s="32"/>
    </row>
    <row r="648" spans="6:6" ht="14.4" x14ac:dyDescent="0.3">
      <c r="F648" s="32"/>
    </row>
    <row r="649" spans="6:6" ht="14.4" x14ac:dyDescent="0.3">
      <c r="F649" s="32"/>
    </row>
    <row r="650" spans="6:6" ht="14.4" x14ac:dyDescent="0.3">
      <c r="F650" s="32"/>
    </row>
    <row r="651" spans="6:6" ht="14.4" x14ac:dyDescent="0.3">
      <c r="F651" s="32"/>
    </row>
    <row r="652" spans="6:6" ht="14.4" x14ac:dyDescent="0.3">
      <c r="F652" s="32"/>
    </row>
    <row r="653" spans="6:6" ht="14.4" x14ac:dyDescent="0.3">
      <c r="F653" s="32"/>
    </row>
    <row r="654" spans="6:6" ht="14.4" x14ac:dyDescent="0.3">
      <c r="F654" s="32"/>
    </row>
    <row r="655" spans="6:6" ht="14.4" x14ac:dyDescent="0.3">
      <c r="F655" s="32"/>
    </row>
    <row r="656" spans="6:6" ht="14.4" x14ac:dyDescent="0.3">
      <c r="F656" s="32"/>
    </row>
    <row r="657" spans="6:6" ht="14.4" x14ac:dyDescent="0.3">
      <c r="F657" s="32"/>
    </row>
    <row r="658" spans="6:6" ht="14.4" x14ac:dyDescent="0.3">
      <c r="F658" s="32"/>
    </row>
    <row r="659" spans="6:6" ht="14.4" x14ac:dyDescent="0.3">
      <c r="F659" s="32"/>
    </row>
    <row r="660" spans="6:6" ht="14.4" x14ac:dyDescent="0.3">
      <c r="F660" s="32"/>
    </row>
    <row r="661" spans="6:6" ht="14.4" x14ac:dyDescent="0.3">
      <c r="F661" s="32"/>
    </row>
    <row r="662" spans="6:6" ht="14.4" x14ac:dyDescent="0.3">
      <c r="F662" s="32"/>
    </row>
    <row r="663" spans="6:6" ht="14.4" x14ac:dyDescent="0.3">
      <c r="F663" s="32"/>
    </row>
    <row r="664" spans="6:6" ht="14.4" x14ac:dyDescent="0.3">
      <c r="F664" s="32"/>
    </row>
    <row r="665" spans="6:6" ht="14.4" x14ac:dyDescent="0.3">
      <c r="F665" s="32"/>
    </row>
    <row r="666" spans="6:6" ht="14.4" x14ac:dyDescent="0.3">
      <c r="F666" s="32"/>
    </row>
    <row r="667" spans="6:6" ht="14.4" x14ac:dyDescent="0.3">
      <c r="F667" s="32"/>
    </row>
    <row r="668" spans="6:6" ht="14.4" x14ac:dyDescent="0.3">
      <c r="F668" s="32"/>
    </row>
    <row r="669" spans="6:6" ht="14.4" x14ac:dyDescent="0.3">
      <c r="F669" s="32"/>
    </row>
    <row r="670" spans="6:6" ht="14.4" x14ac:dyDescent="0.3">
      <c r="F670" s="32"/>
    </row>
    <row r="671" spans="6:6" ht="14.4" x14ac:dyDescent="0.3">
      <c r="F671" s="32"/>
    </row>
    <row r="672" spans="6:6" ht="14.4" x14ac:dyDescent="0.3">
      <c r="F672" s="32"/>
    </row>
    <row r="673" spans="6:6" ht="14.4" x14ac:dyDescent="0.3">
      <c r="F673" s="32"/>
    </row>
    <row r="674" spans="6:6" ht="14.4" x14ac:dyDescent="0.3">
      <c r="F674" s="32"/>
    </row>
    <row r="675" spans="6:6" ht="14.4" x14ac:dyDescent="0.3">
      <c r="F675" s="32"/>
    </row>
    <row r="676" spans="6:6" ht="14.4" x14ac:dyDescent="0.3">
      <c r="F676" s="32"/>
    </row>
    <row r="677" spans="6:6" ht="14.4" x14ac:dyDescent="0.3">
      <c r="F677" s="32"/>
    </row>
    <row r="678" spans="6:6" ht="14.4" x14ac:dyDescent="0.3">
      <c r="F678" s="32"/>
    </row>
    <row r="679" spans="6:6" ht="14.4" x14ac:dyDescent="0.3">
      <c r="F679" s="32"/>
    </row>
    <row r="680" spans="6:6" ht="14.4" x14ac:dyDescent="0.3">
      <c r="F680" s="32"/>
    </row>
    <row r="681" spans="6:6" ht="14.4" x14ac:dyDescent="0.3">
      <c r="F681" s="32"/>
    </row>
    <row r="682" spans="6:6" ht="14.4" x14ac:dyDescent="0.3">
      <c r="F682" s="32"/>
    </row>
    <row r="683" spans="6:6" ht="14.4" x14ac:dyDescent="0.3">
      <c r="F683" s="32"/>
    </row>
    <row r="684" spans="6:6" ht="14.4" x14ac:dyDescent="0.3">
      <c r="F684" s="32"/>
    </row>
    <row r="685" spans="6:6" ht="14.4" x14ac:dyDescent="0.3">
      <c r="F685" s="32"/>
    </row>
    <row r="686" spans="6:6" ht="14.4" x14ac:dyDescent="0.3">
      <c r="F686" s="32"/>
    </row>
    <row r="687" spans="6:6" ht="14.4" x14ac:dyDescent="0.3">
      <c r="F687" s="32"/>
    </row>
    <row r="688" spans="6:6" ht="14.4" x14ac:dyDescent="0.3">
      <c r="F688" s="32"/>
    </row>
    <row r="689" spans="6:6" ht="14.4" x14ac:dyDescent="0.3">
      <c r="F689" s="32"/>
    </row>
    <row r="690" spans="6:6" ht="14.4" x14ac:dyDescent="0.3">
      <c r="F690" s="32"/>
    </row>
    <row r="691" spans="6:6" ht="14.4" x14ac:dyDescent="0.3">
      <c r="F691" s="32"/>
    </row>
    <row r="692" spans="6:6" ht="14.4" x14ac:dyDescent="0.3">
      <c r="F692" s="32"/>
    </row>
    <row r="693" spans="6:6" ht="14.4" x14ac:dyDescent="0.3">
      <c r="F693" s="32"/>
    </row>
    <row r="694" spans="6:6" ht="14.4" x14ac:dyDescent="0.3">
      <c r="F694" s="32"/>
    </row>
    <row r="695" spans="6:6" ht="14.4" x14ac:dyDescent="0.3">
      <c r="F695" s="32"/>
    </row>
    <row r="696" spans="6:6" ht="14.4" x14ac:dyDescent="0.3">
      <c r="F696" s="32"/>
    </row>
    <row r="697" spans="6:6" ht="14.4" x14ac:dyDescent="0.3">
      <c r="F697" s="32"/>
    </row>
    <row r="698" spans="6:6" ht="14.4" x14ac:dyDescent="0.3">
      <c r="F698" s="32"/>
    </row>
    <row r="699" spans="6:6" ht="14.4" x14ac:dyDescent="0.3">
      <c r="F699" s="32"/>
    </row>
    <row r="700" spans="6:6" ht="14.4" x14ac:dyDescent="0.3">
      <c r="F700" s="32"/>
    </row>
    <row r="701" spans="6:6" ht="14.4" x14ac:dyDescent="0.3">
      <c r="F701" s="32"/>
    </row>
    <row r="702" spans="6:6" ht="14.4" x14ac:dyDescent="0.3">
      <c r="F702" s="32"/>
    </row>
    <row r="703" spans="6:6" ht="14.4" x14ac:dyDescent="0.3">
      <c r="F703" s="32"/>
    </row>
    <row r="704" spans="6:6" ht="14.4" x14ac:dyDescent="0.3">
      <c r="F704" s="32"/>
    </row>
    <row r="705" spans="6:6" ht="14.4" x14ac:dyDescent="0.3">
      <c r="F705" s="32"/>
    </row>
    <row r="706" spans="6:6" ht="14.4" x14ac:dyDescent="0.3">
      <c r="F706" s="32"/>
    </row>
    <row r="707" spans="6:6" ht="14.4" x14ac:dyDescent="0.3">
      <c r="F707" s="32"/>
    </row>
    <row r="708" spans="6:6" ht="14.4" x14ac:dyDescent="0.3">
      <c r="F708" s="32"/>
    </row>
    <row r="709" spans="6:6" ht="14.4" x14ac:dyDescent="0.3">
      <c r="F709" s="32"/>
    </row>
    <row r="710" spans="6:6" ht="14.4" x14ac:dyDescent="0.3">
      <c r="F710" s="32"/>
    </row>
    <row r="711" spans="6:6" ht="14.4" x14ac:dyDescent="0.3">
      <c r="F711" s="32"/>
    </row>
    <row r="712" spans="6:6" ht="14.4" x14ac:dyDescent="0.3">
      <c r="F712" s="32"/>
    </row>
    <row r="713" spans="6:6" ht="14.4" x14ac:dyDescent="0.3">
      <c r="F713" s="32"/>
    </row>
    <row r="714" spans="6:6" ht="14.4" x14ac:dyDescent="0.3">
      <c r="F714" s="32"/>
    </row>
    <row r="715" spans="6:6" ht="14.4" x14ac:dyDescent="0.3">
      <c r="F715" s="32"/>
    </row>
    <row r="716" spans="6:6" ht="14.4" x14ac:dyDescent="0.3">
      <c r="F716" s="32"/>
    </row>
    <row r="717" spans="6:6" ht="14.4" x14ac:dyDescent="0.3">
      <c r="F717" s="32"/>
    </row>
    <row r="718" spans="6:6" ht="14.4" x14ac:dyDescent="0.3">
      <c r="F718" s="32"/>
    </row>
    <row r="719" spans="6:6" ht="14.4" x14ac:dyDescent="0.3">
      <c r="F719" s="32"/>
    </row>
    <row r="720" spans="6:6" ht="14.4" x14ac:dyDescent="0.3">
      <c r="F720" s="32"/>
    </row>
    <row r="721" spans="6:6" ht="14.4" x14ac:dyDescent="0.3">
      <c r="F721" s="32"/>
    </row>
    <row r="722" spans="6:6" ht="14.4" x14ac:dyDescent="0.3">
      <c r="F722" s="32"/>
    </row>
    <row r="723" spans="6:6" ht="14.4" x14ac:dyDescent="0.3">
      <c r="F723" s="32"/>
    </row>
    <row r="724" spans="6:6" ht="14.4" x14ac:dyDescent="0.3">
      <c r="F724" s="32"/>
    </row>
    <row r="725" spans="6:6" ht="14.4" x14ac:dyDescent="0.3">
      <c r="F725" s="32"/>
    </row>
    <row r="726" spans="6:6" ht="14.4" x14ac:dyDescent="0.3">
      <c r="F726" s="32"/>
    </row>
    <row r="727" spans="6:6" ht="14.4" x14ac:dyDescent="0.3">
      <c r="F727" s="32"/>
    </row>
    <row r="728" spans="6:6" ht="14.4" x14ac:dyDescent="0.3">
      <c r="F728" s="32"/>
    </row>
    <row r="729" spans="6:6" ht="14.4" x14ac:dyDescent="0.3">
      <c r="F729" s="32"/>
    </row>
    <row r="730" spans="6:6" ht="14.4" x14ac:dyDescent="0.3">
      <c r="F730" s="32"/>
    </row>
    <row r="731" spans="6:6" ht="14.4" x14ac:dyDescent="0.3">
      <c r="F731" s="32"/>
    </row>
    <row r="732" spans="6:6" ht="14.4" x14ac:dyDescent="0.3">
      <c r="F732" s="32"/>
    </row>
    <row r="733" spans="6:6" ht="14.4" x14ac:dyDescent="0.3">
      <c r="F733" s="32"/>
    </row>
    <row r="734" spans="6:6" ht="14.4" x14ac:dyDescent="0.3">
      <c r="F734" s="32"/>
    </row>
    <row r="735" spans="6:6" ht="14.4" x14ac:dyDescent="0.3">
      <c r="F735" s="32"/>
    </row>
    <row r="736" spans="6:6" ht="14.4" x14ac:dyDescent="0.3">
      <c r="F736" s="32"/>
    </row>
    <row r="737" spans="6:6" ht="14.4" x14ac:dyDescent="0.3">
      <c r="F737" s="32"/>
    </row>
    <row r="738" spans="6:6" ht="14.4" x14ac:dyDescent="0.3">
      <c r="F738" s="32"/>
    </row>
    <row r="739" spans="6:6" ht="14.4" x14ac:dyDescent="0.3">
      <c r="F739" s="32"/>
    </row>
    <row r="740" spans="6:6" ht="14.4" x14ac:dyDescent="0.3">
      <c r="F740" s="32"/>
    </row>
    <row r="741" spans="6:6" ht="14.4" x14ac:dyDescent="0.3">
      <c r="F741" s="32"/>
    </row>
    <row r="742" spans="6:6" ht="14.4" x14ac:dyDescent="0.3">
      <c r="F742" s="32"/>
    </row>
    <row r="743" spans="6:6" ht="14.4" x14ac:dyDescent="0.3">
      <c r="F743" s="32"/>
    </row>
    <row r="744" spans="6:6" ht="14.4" x14ac:dyDescent="0.3">
      <c r="F744" s="32"/>
    </row>
    <row r="745" spans="6:6" ht="14.4" x14ac:dyDescent="0.3">
      <c r="F745" s="32"/>
    </row>
    <row r="746" spans="6:6" ht="14.4" x14ac:dyDescent="0.3">
      <c r="F746" s="32"/>
    </row>
    <row r="747" spans="6:6" ht="14.4" x14ac:dyDescent="0.3">
      <c r="F747" s="32"/>
    </row>
    <row r="748" spans="6:6" ht="14.4" x14ac:dyDescent="0.3">
      <c r="F748" s="32"/>
    </row>
    <row r="749" spans="6:6" ht="14.4" x14ac:dyDescent="0.3">
      <c r="F749" s="32"/>
    </row>
    <row r="750" spans="6:6" ht="14.4" x14ac:dyDescent="0.3">
      <c r="F750" s="32"/>
    </row>
    <row r="751" spans="6:6" ht="14.4" x14ac:dyDescent="0.3">
      <c r="F751" s="32"/>
    </row>
    <row r="752" spans="6:6" ht="14.4" x14ac:dyDescent="0.3">
      <c r="F752" s="32"/>
    </row>
    <row r="753" spans="6:6" ht="14.4" x14ac:dyDescent="0.3">
      <c r="F753" s="32"/>
    </row>
    <row r="754" spans="6:6" ht="14.4" x14ac:dyDescent="0.3">
      <c r="F754" s="32"/>
    </row>
    <row r="755" spans="6:6" ht="14.4" x14ac:dyDescent="0.3">
      <c r="F755" s="32"/>
    </row>
    <row r="756" spans="6:6" ht="14.4" x14ac:dyDescent="0.3">
      <c r="F756" s="32"/>
    </row>
    <row r="757" spans="6:6" ht="14.4" x14ac:dyDescent="0.3">
      <c r="F757" s="32"/>
    </row>
    <row r="758" spans="6:6" ht="14.4" x14ac:dyDescent="0.3">
      <c r="F758" s="32"/>
    </row>
    <row r="759" spans="6:6" ht="14.4" x14ac:dyDescent="0.3">
      <c r="F759" s="32"/>
    </row>
    <row r="760" spans="6:6" ht="14.4" x14ac:dyDescent="0.3">
      <c r="F760" s="32"/>
    </row>
    <row r="761" spans="6:6" ht="14.4" x14ac:dyDescent="0.3">
      <c r="F761" s="32"/>
    </row>
    <row r="762" spans="6:6" ht="14.4" x14ac:dyDescent="0.3">
      <c r="F762" s="32"/>
    </row>
    <row r="763" spans="6:6" ht="14.4" x14ac:dyDescent="0.3">
      <c r="F763" s="32"/>
    </row>
    <row r="764" spans="6:6" ht="14.4" x14ac:dyDescent="0.3">
      <c r="F764" s="32"/>
    </row>
    <row r="765" spans="6:6" ht="14.4" x14ac:dyDescent="0.3">
      <c r="F765" s="32"/>
    </row>
    <row r="766" spans="6:6" ht="14.4" x14ac:dyDescent="0.3">
      <c r="F766" s="32"/>
    </row>
    <row r="767" spans="6:6" ht="14.4" x14ac:dyDescent="0.3">
      <c r="F767" s="32"/>
    </row>
    <row r="768" spans="6:6" ht="14.4" x14ac:dyDescent="0.3">
      <c r="F768" s="32"/>
    </row>
    <row r="769" spans="6:6" ht="14.4" x14ac:dyDescent="0.3">
      <c r="F769" s="32"/>
    </row>
    <row r="770" spans="6:6" ht="14.4" x14ac:dyDescent="0.3">
      <c r="F770" s="32"/>
    </row>
    <row r="771" spans="6:6" ht="14.4" x14ac:dyDescent="0.3">
      <c r="F771" s="32"/>
    </row>
    <row r="772" spans="6:6" ht="14.4" x14ac:dyDescent="0.3">
      <c r="F772" s="32"/>
    </row>
    <row r="773" spans="6:6" ht="14.4" x14ac:dyDescent="0.3">
      <c r="F773" s="32"/>
    </row>
    <row r="774" spans="6:6" ht="14.4" x14ac:dyDescent="0.3">
      <c r="F774" s="32"/>
    </row>
    <row r="775" spans="6:6" ht="14.4" x14ac:dyDescent="0.3">
      <c r="F775" s="32"/>
    </row>
    <row r="776" spans="6:6" ht="14.4" x14ac:dyDescent="0.3">
      <c r="F776" s="32"/>
    </row>
    <row r="777" spans="6:6" ht="14.4" x14ac:dyDescent="0.3">
      <c r="F777" s="32"/>
    </row>
    <row r="778" spans="6:6" ht="14.4" x14ac:dyDescent="0.3">
      <c r="F778" s="32"/>
    </row>
    <row r="779" spans="6:6" ht="14.4" x14ac:dyDescent="0.3">
      <c r="F779" s="32"/>
    </row>
    <row r="780" spans="6:6" ht="14.4" x14ac:dyDescent="0.3">
      <c r="F780" s="32"/>
    </row>
    <row r="781" spans="6:6" ht="14.4" x14ac:dyDescent="0.3">
      <c r="F781" s="32"/>
    </row>
    <row r="782" spans="6:6" ht="14.4" x14ac:dyDescent="0.3">
      <c r="F782" s="32"/>
    </row>
    <row r="783" spans="6:6" ht="14.4" x14ac:dyDescent="0.3">
      <c r="F783" s="32"/>
    </row>
    <row r="784" spans="6:6" ht="14.4" x14ac:dyDescent="0.3">
      <c r="F784" s="32"/>
    </row>
    <row r="785" spans="6:6" ht="14.4" x14ac:dyDescent="0.3">
      <c r="F785" s="32"/>
    </row>
    <row r="786" spans="6:6" ht="14.4" x14ac:dyDescent="0.3">
      <c r="F786" s="32"/>
    </row>
    <row r="787" spans="6:6" ht="14.4" x14ac:dyDescent="0.3">
      <c r="F787" s="32"/>
    </row>
    <row r="788" spans="6:6" ht="14.4" x14ac:dyDescent="0.3">
      <c r="F788" s="32"/>
    </row>
    <row r="789" spans="6:6" ht="14.4" x14ac:dyDescent="0.3">
      <c r="F789" s="32"/>
    </row>
    <row r="790" spans="6:6" ht="14.4" x14ac:dyDescent="0.3">
      <c r="F790" s="32"/>
    </row>
    <row r="791" spans="6:6" ht="14.4" x14ac:dyDescent="0.3">
      <c r="F791" s="32"/>
    </row>
    <row r="792" spans="6:6" ht="14.4" x14ac:dyDescent="0.3">
      <c r="F792" s="32"/>
    </row>
    <row r="793" spans="6:6" ht="14.4" x14ac:dyDescent="0.3">
      <c r="F793" s="32"/>
    </row>
    <row r="794" spans="6:6" ht="14.4" x14ac:dyDescent="0.3">
      <c r="F794" s="32"/>
    </row>
    <row r="795" spans="6:6" ht="14.4" x14ac:dyDescent="0.3">
      <c r="F795" s="32"/>
    </row>
    <row r="796" spans="6:6" ht="14.4" x14ac:dyDescent="0.3">
      <c r="F796" s="32"/>
    </row>
    <row r="797" spans="6:6" ht="14.4" x14ac:dyDescent="0.3">
      <c r="F797" s="32"/>
    </row>
    <row r="798" spans="6:6" ht="14.4" x14ac:dyDescent="0.3">
      <c r="F798" s="32"/>
    </row>
    <row r="799" spans="6:6" ht="14.4" x14ac:dyDescent="0.3">
      <c r="F799" s="32"/>
    </row>
    <row r="800" spans="6:6" ht="14.4" x14ac:dyDescent="0.3">
      <c r="F800" s="32"/>
    </row>
    <row r="801" spans="6:6" ht="14.4" x14ac:dyDescent="0.3">
      <c r="F801" s="32"/>
    </row>
    <row r="802" spans="6:6" ht="14.4" x14ac:dyDescent="0.3">
      <c r="F802" s="32"/>
    </row>
    <row r="803" spans="6:6" ht="14.4" x14ac:dyDescent="0.3">
      <c r="F803" s="32"/>
    </row>
    <row r="804" spans="6:6" ht="14.4" x14ac:dyDescent="0.3">
      <c r="F804" s="32"/>
    </row>
    <row r="805" spans="6:6" ht="14.4" x14ac:dyDescent="0.3">
      <c r="F805" s="32"/>
    </row>
    <row r="806" spans="6:6" ht="14.4" x14ac:dyDescent="0.3">
      <c r="F806" s="32"/>
    </row>
    <row r="807" spans="6:6" ht="14.4" x14ac:dyDescent="0.3">
      <c r="F807" s="32"/>
    </row>
    <row r="808" spans="6:6" ht="14.4" x14ac:dyDescent="0.3">
      <c r="F808" s="32"/>
    </row>
    <row r="809" spans="6:6" ht="14.4" x14ac:dyDescent="0.3">
      <c r="F809" s="32"/>
    </row>
    <row r="810" spans="6:6" ht="14.4" x14ac:dyDescent="0.3">
      <c r="F810" s="32"/>
    </row>
    <row r="811" spans="6:6" ht="14.4" x14ac:dyDescent="0.3">
      <c r="F811" s="32"/>
    </row>
    <row r="812" spans="6:6" ht="14.4" x14ac:dyDescent="0.3">
      <c r="F812" s="32"/>
    </row>
    <row r="813" spans="6:6" ht="14.4" x14ac:dyDescent="0.3">
      <c r="F813" s="32"/>
    </row>
    <row r="814" spans="6:6" ht="14.4" x14ac:dyDescent="0.3">
      <c r="F814" s="32"/>
    </row>
    <row r="815" spans="6:6" ht="14.4" x14ac:dyDescent="0.3">
      <c r="F815" s="32"/>
    </row>
    <row r="816" spans="6:6" ht="14.4" x14ac:dyDescent="0.3">
      <c r="F816" s="32"/>
    </row>
    <row r="817" spans="6:6" ht="14.4" x14ac:dyDescent="0.3">
      <c r="F817" s="32"/>
    </row>
    <row r="818" spans="6:6" ht="14.4" x14ac:dyDescent="0.3">
      <c r="F818" s="32"/>
    </row>
    <row r="819" spans="6:6" ht="14.4" x14ac:dyDescent="0.3">
      <c r="F819" s="32"/>
    </row>
    <row r="820" spans="6:6" ht="14.4" x14ac:dyDescent="0.3">
      <c r="F820" s="32"/>
    </row>
    <row r="821" spans="6:6" ht="14.4" x14ac:dyDescent="0.3">
      <c r="F821" s="32"/>
    </row>
    <row r="822" spans="6:6" ht="14.4" x14ac:dyDescent="0.3">
      <c r="F822" s="32"/>
    </row>
    <row r="823" spans="6:6" ht="14.4" x14ac:dyDescent="0.3">
      <c r="F823" s="32"/>
    </row>
    <row r="824" spans="6:6" ht="14.4" x14ac:dyDescent="0.3">
      <c r="F824" s="32"/>
    </row>
    <row r="825" spans="6:6" ht="14.4" x14ac:dyDescent="0.3">
      <c r="F825" s="32"/>
    </row>
    <row r="826" spans="6:6" ht="14.4" x14ac:dyDescent="0.3">
      <c r="F826" s="32"/>
    </row>
    <row r="827" spans="6:6" ht="14.4" x14ac:dyDescent="0.3">
      <c r="F827" s="32"/>
    </row>
    <row r="828" spans="6:6" ht="14.4" x14ac:dyDescent="0.3">
      <c r="F828" s="32"/>
    </row>
    <row r="829" spans="6:6" ht="14.4" x14ac:dyDescent="0.3">
      <c r="F829" s="32"/>
    </row>
    <row r="830" spans="6:6" ht="14.4" x14ac:dyDescent="0.3">
      <c r="F830" s="32"/>
    </row>
    <row r="831" spans="6:6" ht="14.4" x14ac:dyDescent="0.3">
      <c r="F831" s="32"/>
    </row>
    <row r="832" spans="6:6" ht="14.4" x14ac:dyDescent="0.3">
      <c r="F832" s="32"/>
    </row>
    <row r="833" spans="6:6" ht="14.4" x14ac:dyDescent="0.3">
      <c r="F833" s="32"/>
    </row>
    <row r="834" spans="6:6" ht="14.4" x14ac:dyDescent="0.3">
      <c r="F834" s="32"/>
    </row>
    <row r="835" spans="6:6" ht="14.4" x14ac:dyDescent="0.3">
      <c r="F835" s="32"/>
    </row>
    <row r="836" spans="6:6" ht="14.4" x14ac:dyDescent="0.3">
      <c r="F836" s="32"/>
    </row>
    <row r="837" spans="6:6" ht="14.4" x14ac:dyDescent="0.3">
      <c r="F837" s="32"/>
    </row>
    <row r="838" spans="6:6" ht="14.4" x14ac:dyDescent="0.3">
      <c r="F838" s="32"/>
    </row>
    <row r="839" spans="6:6" ht="14.4" x14ac:dyDescent="0.3">
      <c r="F839" s="32"/>
    </row>
    <row r="840" spans="6:6" ht="14.4" x14ac:dyDescent="0.3">
      <c r="F840" s="32"/>
    </row>
    <row r="841" spans="6:6" ht="14.4" x14ac:dyDescent="0.3">
      <c r="F841" s="32"/>
    </row>
    <row r="842" spans="6:6" ht="14.4" x14ac:dyDescent="0.3">
      <c r="F842" s="32"/>
    </row>
    <row r="843" spans="6:6" ht="14.4" x14ac:dyDescent="0.3">
      <c r="F843" s="32"/>
    </row>
    <row r="844" spans="6:6" ht="14.4" x14ac:dyDescent="0.3">
      <c r="F844" s="32"/>
    </row>
    <row r="845" spans="6:6" ht="14.4" x14ac:dyDescent="0.3">
      <c r="F845" s="32"/>
    </row>
    <row r="846" spans="6:6" ht="14.4" x14ac:dyDescent="0.3">
      <c r="F846" s="32"/>
    </row>
    <row r="847" spans="6:6" ht="14.4" x14ac:dyDescent="0.3">
      <c r="F847" s="32"/>
    </row>
    <row r="848" spans="6:6" ht="14.4" x14ac:dyDescent="0.3">
      <c r="F848" s="32"/>
    </row>
    <row r="849" spans="6:6" ht="14.4" x14ac:dyDescent="0.3">
      <c r="F849" s="32"/>
    </row>
    <row r="850" spans="6:6" ht="14.4" x14ac:dyDescent="0.3">
      <c r="F850" s="32"/>
    </row>
    <row r="851" spans="6:6" ht="14.4" x14ac:dyDescent="0.3">
      <c r="F851" s="32"/>
    </row>
    <row r="852" spans="6:6" ht="14.4" x14ac:dyDescent="0.3">
      <c r="F852" s="32"/>
    </row>
    <row r="853" spans="6:6" ht="14.4" x14ac:dyDescent="0.3">
      <c r="F853" s="32"/>
    </row>
    <row r="854" spans="6:6" ht="14.4" x14ac:dyDescent="0.3">
      <c r="F854" s="32"/>
    </row>
    <row r="855" spans="6:6" ht="14.4" x14ac:dyDescent="0.3">
      <c r="F855" s="32"/>
    </row>
    <row r="856" spans="6:6" ht="14.4" x14ac:dyDescent="0.3">
      <c r="F856" s="32"/>
    </row>
    <row r="857" spans="6:6" ht="14.4" x14ac:dyDescent="0.3">
      <c r="F857" s="32"/>
    </row>
    <row r="858" spans="6:6" ht="14.4" x14ac:dyDescent="0.3">
      <c r="F858" s="32"/>
    </row>
    <row r="859" spans="6:6" ht="14.4" x14ac:dyDescent="0.3">
      <c r="F859" s="32"/>
    </row>
    <row r="860" spans="6:6" ht="14.4" x14ac:dyDescent="0.3">
      <c r="F860" s="32"/>
    </row>
    <row r="861" spans="6:6" ht="14.4" x14ac:dyDescent="0.3">
      <c r="F861" s="32"/>
    </row>
    <row r="862" spans="6:6" ht="14.4" x14ac:dyDescent="0.3">
      <c r="F862" s="32"/>
    </row>
    <row r="863" spans="6:6" ht="14.4" x14ac:dyDescent="0.3">
      <c r="F863" s="32"/>
    </row>
    <row r="864" spans="6:6" ht="14.4" x14ac:dyDescent="0.3">
      <c r="F864" s="32"/>
    </row>
    <row r="865" spans="6:6" ht="14.4" x14ac:dyDescent="0.3">
      <c r="F865" s="32"/>
    </row>
    <row r="866" spans="6:6" ht="14.4" x14ac:dyDescent="0.3">
      <c r="F866" s="32"/>
    </row>
    <row r="867" spans="6:6" ht="14.4" x14ac:dyDescent="0.3">
      <c r="F867" s="32"/>
    </row>
    <row r="868" spans="6:6" ht="14.4" x14ac:dyDescent="0.3">
      <c r="F868" s="32"/>
    </row>
    <row r="869" spans="6:6" ht="14.4" x14ac:dyDescent="0.3">
      <c r="F869" s="32"/>
    </row>
    <row r="870" spans="6:6" ht="14.4" x14ac:dyDescent="0.3">
      <c r="F870" s="32"/>
    </row>
    <row r="871" spans="6:6" ht="14.4" x14ac:dyDescent="0.3">
      <c r="F871" s="32"/>
    </row>
    <row r="872" spans="6:6" ht="14.4" x14ac:dyDescent="0.3">
      <c r="F872" s="32"/>
    </row>
    <row r="873" spans="6:6" ht="14.4" x14ac:dyDescent="0.3">
      <c r="F873" s="32"/>
    </row>
    <row r="874" spans="6:6" ht="14.4" x14ac:dyDescent="0.3">
      <c r="F874" s="32"/>
    </row>
    <row r="875" spans="6:6" ht="14.4" x14ac:dyDescent="0.3">
      <c r="F875" s="32"/>
    </row>
    <row r="876" spans="6:6" ht="14.4" x14ac:dyDescent="0.3">
      <c r="F876" s="32"/>
    </row>
    <row r="877" spans="6:6" ht="14.4" x14ac:dyDescent="0.3">
      <c r="F877" s="32"/>
    </row>
    <row r="878" spans="6:6" ht="14.4" x14ac:dyDescent="0.3">
      <c r="F878" s="32"/>
    </row>
    <row r="879" spans="6:6" ht="14.4" x14ac:dyDescent="0.3">
      <c r="F879" s="32"/>
    </row>
    <row r="880" spans="6:6" ht="14.4" x14ac:dyDescent="0.3">
      <c r="F880" s="32"/>
    </row>
    <row r="881" spans="6:6" ht="14.4" x14ac:dyDescent="0.3">
      <c r="F881" s="32"/>
    </row>
    <row r="882" spans="6:6" ht="14.4" x14ac:dyDescent="0.3">
      <c r="F882" s="32"/>
    </row>
    <row r="883" spans="6:6" ht="14.4" x14ac:dyDescent="0.3">
      <c r="F883" s="32"/>
    </row>
    <row r="884" spans="6:6" ht="14.4" x14ac:dyDescent="0.3">
      <c r="F884" s="32"/>
    </row>
    <row r="885" spans="6:6" ht="14.4" x14ac:dyDescent="0.3">
      <c r="F885" s="32"/>
    </row>
    <row r="886" spans="6:6" ht="14.4" x14ac:dyDescent="0.3">
      <c r="F886" s="32"/>
    </row>
    <row r="887" spans="6:6" ht="14.4" x14ac:dyDescent="0.3">
      <c r="F887" s="32"/>
    </row>
    <row r="888" spans="6:6" ht="14.4" x14ac:dyDescent="0.3">
      <c r="F888" s="32"/>
    </row>
    <row r="889" spans="6:6" ht="14.4" x14ac:dyDescent="0.3">
      <c r="F889" s="32"/>
    </row>
    <row r="890" spans="6:6" ht="14.4" x14ac:dyDescent="0.3">
      <c r="F890" s="32"/>
    </row>
    <row r="891" spans="6:6" ht="14.4" x14ac:dyDescent="0.3">
      <c r="F891" s="32"/>
    </row>
    <row r="892" spans="6:6" ht="14.4" x14ac:dyDescent="0.3">
      <c r="F892" s="32"/>
    </row>
    <row r="893" spans="6:6" ht="14.4" x14ac:dyDescent="0.3">
      <c r="F893" s="32"/>
    </row>
    <row r="894" spans="6:6" ht="14.4" x14ac:dyDescent="0.3">
      <c r="F894" s="32"/>
    </row>
    <row r="895" spans="6:6" ht="14.4" x14ac:dyDescent="0.3">
      <c r="F895" s="32"/>
    </row>
    <row r="896" spans="6:6" ht="14.4" x14ac:dyDescent="0.3">
      <c r="F896" s="32"/>
    </row>
    <row r="897" spans="6:6" ht="14.4" x14ac:dyDescent="0.3">
      <c r="F897" s="32"/>
    </row>
    <row r="898" spans="6:6" ht="14.4" x14ac:dyDescent="0.3">
      <c r="F898" s="32"/>
    </row>
    <row r="899" spans="6:6" ht="14.4" x14ac:dyDescent="0.3">
      <c r="F899" s="32"/>
    </row>
    <row r="900" spans="6:6" ht="14.4" x14ac:dyDescent="0.3">
      <c r="F900" s="32"/>
    </row>
    <row r="901" spans="6:6" ht="14.4" x14ac:dyDescent="0.3">
      <c r="F901" s="32"/>
    </row>
    <row r="902" spans="6:6" ht="14.4" x14ac:dyDescent="0.3">
      <c r="F902" s="32"/>
    </row>
    <row r="903" spans="6:6" ht="14.4" x14ac:dyDescent="0.3">
      <c r="F903" s="32"/>
    </row>
    <row r="904" spans="6:6" ht="14.4" x14ac:dyDescent="0.3">
      <c r="F904" s="32"/>
    </row>
    <row r="905" spans="6:6" ht="14.4" x14ac:dyDescent="0.3">
      <c r="F905" s="32"/>
    </row>
    <row r="906" spans="6:6" ht="14.4" x14ac:dyDescent="0.3">
      <c r="F906" s="32"/>
    </row>
    <row r="907" spans="6:6" ht="14.4" x14ac:dyDescent="0.3">
      <c r="F907" s="32"/>
    </row>
    <row r="908" spans="6:6" ht="14.4" x14ac:dyDescent="0.3">
      <c r="F908" s="32"/>
    </row>
    <row r="909" spans="6:6" ht="14.4" x14ac:dyDescent="0.3">
      <c r="F909" s="32"/>
    </row>
    <row r="910" spans="6:6" ht="14.4" x14ac:dyDescent="0.3">
      <c r="F910" s="32"/>
    </row>
    <row r="911" spans="6:6" ht="14.4" x14ac:dyDescent="0.3">
      <c r="F911" s="32"/>
    </row>
    <row r="912" spans="6:6" ht="14.4" x14ac:dyDescent="0.3">
      <c r="F912" s="32"/>
    </row>
    <row r="913" spans="6:6" ht="14.4" x14ac:dyDescent="0.3">
      <c r="F913" s="32"/>
    </row>
    <row r="914" spans="6:6" ht="14.4" x14ac:dyDescent="0.3">
      <c r="F914" s="32"/>
    </row>
    <row r="915" spans="6:6" ht="14.4" x14ac:dyDescent="0.3">
      <c r="F915" s="32"/>
    </row>
    <row r="916" spans="6:6" ht="14.4" x14ac:dyDescent="0.3">
      <c r="F916" s="32"/>
    </row>
    <row r="917" spans="6:6" ht="14.4" x14ac:dyDescent="0.3">
      <c r="F917" s="32"/>
    </row>
    <row r="918" spans="6:6" ht="14.4" x14ac:dyDescent="0.3">
      <c r="F918" s="32"/>
    </row>
    <row r="919" spans="6:6" ht="14.4" x14ac:dyDescent="0.3">
      <c r="F919" s="32"/>
    </row>
    <row r="920" spans="6:6" ht="14.4" x14ac:dyDescent="0.3">
      <c r="F920" s="32"/>
    </row>
    <row r="921" spans="6:6" ht="14.4" x14ac:dyDescent="0.3">
      <c r="F921" s="32"/>
    </row>
    <row r="922" spans="6:6" ht="14.4" x14ac:dyDescent="0.3">
      <c r="F922" s="32"/>
    </row>
    <row r="923" spans="6:6" ht="14.4" x14ac:dyDescent="0.3">
      <c r="F923" s="32"/>
    </row>
    <row r="924" spans="6:6" ht="14.4" x14ac:dyDescent="0.3">
      <c r="F924" s="32"/>
    </row>
    <row r="925" spans="6:6" ht="14.4" x14ac:dyDescent="0.3">
      <c r="F925" s="32"/>
    </row>
    <row r="926" spans="6:6" ht="14.4" x14ac:dyDescent="0.3">
      <c r="F926" s="32"/>
    </row>
    <row r="927" spans="6:6" ht="14.4" x14ac:dyDescent="0.3">
      <c r="F927" s="32"/>
    </row>
    <row r="928" spans="6:6" ht="14.4" x14ac:dyDescent="0.3">
      <c r="F928" s="32"/>
    </row>
    <row r="929" spans="6:6" ht="14.4" x14ac:dyDescent="0.3">
      <c r="F929" s="32"/>
    </row>
    <row r="930" spans="6:6" ht="14.4" x14ac:dyDescent="0.3">
      <c r="F930" s="32"/>
    </row>
    <row r="931" spans="6:6" ht="14.4" x14ac:dyDescent="0.3">
      <c r="F931" s="32"/>
    </row>
    <row r="932" spans="6:6" ht="14.4" x14ac:dyDescent="0.3">
      <c r="F932" s="32"/>
    </row>
    <row r="933" spans="6:6" ht="14.4" x14ac:dyDescent="0.3">
      <c r="F933" s="32"/>
    </row>
    <row r="934" spans="6:6" ht="14.4" x14ac:dyDescent="0.3">
      <c r="F934" s="32"/>
    </row>
    <row r="935" spans="6:6" ht="14.4" x14ac:dyDescent="0.3">
      <c r="F935" s="32"/>
    </row>
    <row r="936" spans="6:6" ht="14.4" x14ac:dyDescent="0.3">
      <c r="F936" s="32"/>
    </row>
    <row r="937" spans="6:6" ht="14.4" x14ac:dyDescent="0.3">
      <c r="F937" s="32"/>
    </row>
    <row r="938" spans="6:6" ht="14.4" x14ac:dyDescent="0.3">
      <c r="F938" s="32"/>
    </row>
    <row r="939" spans="6:6" ht="14.4" x14ac:dyDescent="0.3">
      <c r="F939" s="32"/>
    </row>
    <row r="940" spans="6:6" ht="14.4" x14ac:dyDescent="0.3">
      <c r="F940" s="32"/>
    </row>
    <row r="941" spans="6:6" ht="14.4" x14ac:dyDescent="0.3">
      <c r="F941" s="32"/>
    </row>
    <row r="942" spans="6:6" ht="14.4" x14ac:dyDescent="0.3">
      <c r="F942" s="32"/>
    </row>
    <row r="943" spans="6:6" ht="14.4" x14ac:dyDescent="0.3">
      <c r="F943" s="32"/>
    </row>
    <row r="944" spans="6:6" ht="14.4" x14ac:dyDescent="0.3">
      <c r="F944" s="32"/>
    </row>
    <row r="945" spans="6:6" ht="14.4" x14ac:dyDescent="0.3">
      <c r="F945" s="32"/>
    </row>
    <row r="946" spans="6:6" ht="14.4" x14ac:dyDescent="0.3">
      <c r="F946" s="32"/>
    </row>
    <row r="947" spans="6:6" ht="14.4" x14ac:dyDescent="0.3">
      <c r="F947" s="32"/>
    </row>
    <row r="948" spans="6:6" ht="14.4" x14ac:dyDescent="0.3">
      <c r="F948" s="32"/>
    </row>
    <row r="949" spans="6:6" ht="14.4" x14ac:dyDescent="0.3">
      <c r="F949" s="32"/>
    </row>
    <row r="950" spans="6:6" ht="14.4" x14ac:dyDescent="0.3">
      <c r="F950" s="32"/>
    </row>
    <row r="951" spans="6:6" ht="14.4" x14ac:dyDescent="0.3">
      <c r="F951" s="32"/>
    </row>
    <row r="952" spans="6:6" ht="14.4" x14ac:dyDescent="0.3">
      <c r="F952" s="32"/>
    </row>
    <row r="953" spans="6:6" ht="14.4" x14ac:dyDescent="0.3">
      <c r="F953" s="32"/>
    </row>
    <row r="954" spans="6:6" ht="14.4" x14ac:dyDescent="0.3">
      <c r="F954" s="32"/>
    </row>
    <row r="955" spans="6:6" ht="14.4" x14ac:dyDescent="0.3">
      <c r="F955" s="32"/>
    </row>
    <row r="956" spans="6:6" ht="14.4" x14ac:dyDescent="0.3">
      <c r="F956" s="32"/>
    </row>
    <row r="957" spans="6:6" ht="14.4" x14ac:dyDescent="0.3">
      <c r="F957" s="32"/>
    </row>
    <row r="958" spans="6:6" ht="14.4" x14ac:dyDescent="0.3">
      <c r="F958" s="32"/>
    </row>
    <row r="959" spans="6:6" ht="14.4" x14ac:dyDescent="0.3">
      <c r="F959" s="32"/>
    </row>
    <row r="960" spans="6:6" ht="14.4" x14ac:dyDescent="0.3">
      <c r="F960" s="32"/>
    </row>
    <row r="961" spans="6:6" ht="14.4" x14ac:dyDescent="0.3">
      <c r="F961" s="32"/>
    </row>
    <row r="962" spans="6:6" ht="14.4" x14ac:dyDescent="0.3">
      <c r="F962" s="32"/>
    </row>
    <row r="963" spans="6:6" ht="14.4" x14ac:dyDescent="0.3">
      <c r="F963" s="32"/>
    </row>
    <row r="964" spans="6:6" ht="14.4" x14ac:dyDescent="0.3">
      <c r="F964" s="32"/>
    </row>
    <row r="965" spans="6:6" ht="14.4" x14ac:dyDescent="0.3">
      <c r="F965" s="32"/>
    </row>
    <row r="966" spans="6:6" ht="14.4" x14ac:dyDescent="0.3">
      <c r="F966" s="32"/>
    </row>
    <row r="967" spans="6:6" ht="14.4" x14ac:dyDescent="0.3">
      <c r="F967" s="32"/>
    </row>
    <row r="968" spans="6:6" ht="14.4" x14ac:dyDescent="0.3">
      <c r="F968" s="32"/>
    </row>
    <row r="969" spans="6:6" ht="14.4" x14ac:dyDescent="0.3">
      <c r="F969" s="32"/>
    </row>
    <row r="970" spans="6:6" ht="14.4" x14ac:dyDescent="0.3">
      <c r="F970" s="32"/>
    </row>
    <row r="971" spans="6:6" ht="14.4" x14ac:dyDescent="0.3">
      <c r="F971" s="32"/>
    </row>
    <row r="972" spans="6:6" ht="14.4" x14ac:dyDescent="0.3">
      <c r="F972" s="32"/>
    </row>
    <row r="973" spans="6:6" ht="14.4" x14ac:dyDescent="0.3">
      <c r="F973" s="32"/>
    </row>
    <row r="974" spans="6:6" ht="14.4" x14ac:dyDescent="0.3">
      <c r="F974" s="32"/>
    </row>
    <row r="975" spans="6:6" ht="14.4" x14ac:dyDescent="0.3">
      <c r="F975" s="32"/>
    </row>
    <row r="976" spans="6:6" ht="14.4" x14ac:dyDescent="0.3">
      <c r="F976" s="32"/>
    </row>
    <row r="977" spans="6:6" ht="14.4" x14ac:dyDescent="0.3">
      <c r="F977" s="32"/>
    </row>
    <row r="978" spans="6:6" ht="14.4" x14ac:dyDescent="0.3">
      <c r="F978" s="32"/>
    </row>
  </sheetData>
  <mergeCells count="1">
    <mergeCell ref="C1:AJ2"/>
  </mergeCells>
  <phoneticPr fontId="4" type="noConversion"/>
  <conditionalFormatting sqref="M541:M567 M33:M539 M11:M31 M5:M9">
    <cfRule type="containsText" dxfId="395" priority="11" operator="containsText" text="High">
      <formula>NOT(ISERROR(SEARCH("High",M5)))</formula>
    </cfRule>
  </conditionalFormatting>
  <conditionalFormatting sqref="U541:V567 U11:V539 U5:V9">
    <cfRule type="cellIs" dxfId="394" priority="12" operator="equal">
      <formula>"Closed"</formula>
    </cfRule>
    <cfRule type="cellIs" dxfId="393" priority="13" operator="equal">
      <formula>"Open Sale"</formula>
    </cfRule>
    <cfRule type="cellIs" dxfId="392" priority="14" operator="equal">
      <formula>"Pending Allocation"</formula>
    </cfRule>
    <cfRule type="cellIs" dxfId="391" priority="15" operator="equal">
      <formula>"transferred"</formula>
    </cfRule>
    <cfRule type="cellIs" dxfId="390" priority="16" operator="equal">
      <formula>"Sold"</formula>
    </cfRule>
  </conditionalFormatting>
  <conditionalFormatting sqref="U542:Z548 U541:W541 U22:V22 Y541:Z541 Y22:Z22 W549:Z568 W570:Z1048576 W10:Z10">
    <cfRule type="cellIs" dxfId="389" priority="389" operator="equal">
      <formula>"Closed"</formula>
    </cfRule>
    <cfRule type="cellIs" dxfId="388" priority="390" operator="equal">
      <formula>"Open"</formula>
    </cfRule>
    <cfRule type="cellIs" dxfId="387" priority="391" operator="equal">
      <formula>"Pending"</formula>
    </cfRule>
  </conditionalFormatting>
  <conditionalFormatting sqref="U27:V27">
    <cfRule type="cellIs" dxfId="386" priority="8" operator="equal">
      <formula>"Closed"</formula>
    </cfRule>
    <cfRule type="cellIs" dxfId="385" priority="9" operator="equal">
      <formula>"Open"</formula>
    </cfRule>
    <cfRule type="cellIs" dxfId="384" priority="10" operator="equal">
      <formula>"Pending"</formula>
    </cfRule>
  </conditionalFormatting>
  <conditionalFormatting sqref="U28:V28">
    <cfRule type="cellIs" dxfId="383" priority="5" operator="equal">
      <formula>"Closed"</formula>
    </cfRule>
    <cfRule type="cellIs" dxfId="382" priority="6" operator="equal">
      <formula>"Open"</formula>
    </cfRule>
    <cfRule type="cellIs" dxfId="381" priority="7" operator="equal">
      <formula>"Pending"</formula>
    </cfRule>
  </conditionalFormatting>
  <conditionalFormatting sqref="M32">
    <cfRule type="containsText" dxfId="380" priority="4" operator="containsText" text="High">
      <formula>NOT(ISERROR(SEARCH("High",M32)))</formula>
    </cfRule>
  </conditionalFormatting>
  <conditionalFormatting sqref="U11:V33 U5:V9">
    <cfRule type="containsText" dxfId="379" priority="3" operator="containsText" text="Paid Deposit ">
      <formula>NOT(ISERROR(SEARCH("Paid Deposit ",U5)))</formula>
    </cfRule>
  </conditionalFormatting>
  <conditionalFormatting sqref="O581:O582">
    <cfRule type="containsText" dxfId="378" priority="2" operator="containsText" text="High">
      <formula>NOT(ISERROR(SEARCH("High",O581)))</formula>
    </cfRule>
  </conditionalFormatting>
  <conditionalFormatting sqref="O583">
    <cfRule type="containsText" dxfId="377" priority="1" operator="containsText" text="High">
      <formula>NOT(ISERROR(SEARCH("High",O583)))</formula>
    </cfRule>
  </conditionalFormatting>
  <dataValidations count="12">
    <dataValidation type="list" allowBlank="1" showInputMessage="1" showErrorMessage="1" sqref="U542:V548 Y22 X542:X568 W541:W568 W10:Y10 Y541:Y568 W570:Y1048576" xr:uid="{FEFB6E8C-E152-44BA-B2CC-26EA5B8D1443}">
      <formula1>$AS$5:$AS$8</formula1>
    </dataValidation>
    <dataValidation type="list" allowBlank="1" showInputMessage="1" showErrorMessage="1" sqref="M22 M10 M541:M568 M570:M1048576" xr:uid="{8AE61CE9-F335-43B0-AC72-CE49ED50FBB3}">
      <formula1>$AX$5:$AX$10</formula1>
    </dataValidation>
    <dataValidation type="list" allowBlank="1" showInputMessage="1" showErrorMessage="1" sqref="G568 F5:F539 F541:F569 F570:G1048576" xr:uid="{0ADBCF6B-BB93-4972-AAD0-82CC2B85E28B}">
      <formula1>"Maaz,Asma,Riham"</formula1>
    </dataValidation>
    <dataValidation type="list" allowBlank="1" showInputMessage="1" showErrorMessage="1" sqref="J22 J541:J568 K568 J10:K10 J570:K1048576" xr:uid="{0F75E54D-02AC-46AC-BD60-4BB35095DBE4}">
      <formula1>"Yes,BTQ Stock"</formula1>
    </dataValidation>
    <dataValidation type="list" allowBlank="1" showInputMessage="1" showErrorMessage="1" sqref="U541:V541 U34:V539" xr:uid="{2F47A761-F2A4-4CC0-8A5C-F3FBEB0EEFC9}">
      <formula1>$AS$5:$AS$10</formula1>
    </dataValidation>
    <dataValidation type="list" allowBlank="1" showInputMessage="1" showErrorMessage="1" sqref="X541 X5:X9 X11:X539" xr:uid="{8F028B10-E7C3-49CA-B55E-3F319EAB0F5A}">
      <formula1>"Paid Deposit, Paid Deposit - Full Payment, Full Payment - By link, Full Payment - Bank Transfer, Full payment - At Boutique,Paid Deposit - Bank Transfer - At Boutique,Full Payment Bank Transfer - At Boutique"</formula1>
    </dataValidation>
    <dataValidation type="list" allowBlank="1" showInputMessage="1" showErrorMessage="1" sqref="N5:N539 N541:N568 N570:N1048576" xr:uid="{DE53B769-67ED-4009-A260-B8CE014676DA}">
      <formula1>"Middle East (UAE),Middle East (KSA),Middle East (Qatar),Middle East (Kuwait)"</formula1>
    </dataValidation>
    <dataValidation allowBlank="1" showInputMessage="1" showErrorMessage="1" sqref="G23:G567 G10" xr:uid="{AB4F1C60-E258-4568-A683-A727D7205BD9}"/>
    <dataValidation type="list" allowBlank="1" showInputMessage="1" showErrorMessage="1" sqref="O581:O583 M5:M9 M11:M539" xr:uid="{411D9789-BF83-490A-B311-934B94A55ECF}">
      <formula1>$AX$7:$AX$10</formula1>
    </dataValidation>
    <dataValidation type="list" allowBlank="1" showInputMessage="1" showErrorMessage="1" sqref="K11:K567 K5:K9" xr:uid="{04AFA5B6-815F-4AC4-A1E9-AB6C4A759134}">
      <formula1>"CRC Stock, Boutique Stock"</formula1>
    </dataValidation>
    <dataValidation type="list" allowBlank="1" showInputMessage="1" showErrorMessage="1" sqref="L1:L568 L570:L1048576" xr:uid="{90B41F74-EDA8-4844-838F-F02FA705B9C1}">
      <formula1>"Awaiting HQ Approval, Approved by HQ, Allocation Confirmed, Allocation Closed (Sold),Currently Under Review,Allocation confirmed(Deposit paid)"</formula1>
    </dataValidation>
    <dataValidation type="list" allowBlank="1" showInputMessage="1" showErrorMessage="1" sqref="U11:V33 U5:V9" xr:uid="{EE484EDE-036F-47C3-8E93-FD4E191F0009}">
      <formula1>$AS$5:$AS$11</formula1>
    </dataValidation>
  </dataValidations>
  <pageMargins left="0.7" right="0.7" top="0.75" bottom="0.75" header="0.3" footer="0.3"/>
  <pageSetup scale="24" orientation="portrait" r:id="rId1"/>
  <colBreaks count="1" manualBreakCount="1">
    <brk id="29" max="1048575" man="1"/>
  </colBreaks>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DA4B5-F3A0-4B7F-A86C-232DF775F650}">
  <dimension ref="A1:P510"/>
  <sheetViews>
    <sheetView topLeftCell="H1" workbookViewId="0">
      <selection activeCell="L25" sqref="L14:L28"/>
    </sheetView>
  </sheetViews>
  <sheetFormatPr defaultRowHeight="14.4" x14ac:dyDescent="0.3"/>
  <cols>
    <col min="1" max="1" width="12" bestFit="1" customWidth="1"/>
    <col min="2" max="2" width="22.109375" bestFit="1" customWidth="1"/>
    <col min="3" max="3" width="18.33203125" bestFit="1" customWidth="1"/>
    <col min="4" max="4" width="16.109375" bestFit="1" customWidth="1"/>
    <col min="5" max="5" width="22.109375" bestFit="1" customWidth="1"/>
    <col min="6" max="6" width="13.5546875" bestFit="1" customWidth="1"/>
    <col min="7" max="7" width="20.33203125" bestFit="1" customWidth="1"/>
    <col min="8" max="8" width="20.5546875" bestFit="1" customWidth="1"/>
    <col min="9" max="9" width="15.6640625" style="24" customWidth="1"/>
    <col min="10" max="10" width="13.5546875" bestFit="1" customWidth="1"/>
    <col min="15" max="15" width="17.109375" bestFit="1" customWidth="1"/>
    <col min="16" max="16" width="25" bestFit="1" customWidth="1"/>
    <col min="17" max="17" width="27.109375" bestFit="1" customWidth="1"/>
    <col min="18" max="18" width="11" bestFit="1" customWidth="1"/>
    <col min="19" max="19" width="9.6640625" bestFit="1" customWidth="1"/>
    <col min="20" max="20" width="10.6640625" bestFit="1" customWidth="1"/>
    <col min="21" max="25" width="9.6640625" bestFit="1" customWidth="1"/>
    <col min="26" max="27" width="10.6640625" bestFit="1" customWidth="1"/>
    <col min="28" max="31" width="9.6640625" bestFit="1" customWidth="1"/>
    <col min="32" max="32" width="10.6640625" bestFit="1" customWidth="1"/>
    <col min="33" max="35" width="9.6640625" bestFit="1" customWidth="1"/>
    <col min="36" max="37" width="10.6640625" bestFit="1" customWidth="1"/>
    <col min="38" max="41" width="9.6640625" bestFit="1" customWidth="1"/>
    <col min="42" max="42" width="10.6640625" bestFit="1" customWidth="1"/>
    <col min="43" max="45" width="9.6640625" bestFit="1" customWidth="1"/>
    <col min="46" max="47" width="10.6640625" bestFit="1" customWidth="1"/>
    <col min="48" max="52" width="9.6640625" bestFit="1" customWidth="1"/>
    <col min="53" max="54" width="10.6640625" bestFit="1" customWidth="1"/>
    <col min="55" max="56" width="9.6640625" bestFit="1" customWidth="1"/>
    <col min="57" max="57" width="8.6640625" bestFit="1" customWidth="1"/>
    <col min="58" max="59" width="9.6640625" bestFit="1" customWidth="1"/>
    <col min="60" max="60" width="8.6640625" bestFit="1" customWidth="1"/>
    <col min="61" max="61" width="9.6640625" bestFit="1" customWidth="1"/>
    <col min="62" max="64" width="10.6640625" bestFit="1" customWidth="1"/>
    <col min="65" max="67" width="9.6640625" bestFit="1" customWidth="1"/>
    <col min="68" max="69" width="10.6640625" bestFit="1" customWidth="1"/>
    <col min="70" max="77" width="9.6640625" bestFit="1" customWidth="1"/>
    <col min="78" max="79" width="10.6640625" bestFit="1" customWidth="1"/>
    <col min="80" max="83" width="9.6640625" bestFit="1" customWidth="1"/>
    <col min="84" max="84" width="10.6640625" bestFit="1" customWidth="1"/>
    <col min="85" max="89" width="9.6640625" bestFit="1" customWidth="1"/>
    <col min="90" max="90" width="10.6640625" bestFit="1" customWidth="1"/>
    <col min="91" max="92" width="9.6640625" bestFit="1" customWidth="1"/>
    <col min="93" max="93" width="8.6640625" bestFit="1" customWidth="1"/>
    <col min="94" max="94" width="9.6640625" bestFit="1" customWidth="1"/>
    <col min="95" max="95" width="10.6640625" bestFit="1" customWidth="1"/>
    <col min="96" max="96" width="9.6640625" bestFit="1" customWidth="1"/>
    <col min="97" max="97" width="10.6640625" bestFit="1" customWidth="1"/>
    <col min="98" max="98" width="9.6640625" bestFit="1" customWidth="1"/>
    <col min="99" max="101" width="8.6640625" bestFit="1" customWidth="1"/>
    <col min="102" max="103" width="9.6640625" bestFit="1" customWidth="1"/>
    <col min="104" max="112" width="8.6640625" bestFit="1" customWidth="1"/>
    <col min="113" max="113" width="9.6640625" bestFit="1" customWidth="1"/>
    <col min="114" max="116" width="8.6640625" bestFit="1" customWidth="1"/>
    <col min="117" max="117" width="9.6640625" bestFit="1" customWidth="1"/>
    <col min="118" max="118" width="11" bestFit="1" customWidth="1"/>
  </cols>
  <sheetData>
    <row r="1" spans="1:16" x14ac:dyDescent="0.3">
      <c r="A1" s="8" t="s">
        <v>179</v>
      </c>
      <c r="B1" s="9" t="s">
        <v>180</v>
      </c>
      <c r="C1" s="9" t="s">
        <v>181</v>
      </c>
      <c r="D1" s="9" t="s">
        <v>182</v>
      </c>
      <c r="E1" s="9" t="s">
        <v>183</v>
      </c>
      <c r="F1" s="9" t="s">
        <v>184</v>
      </c>
      <c r="G1" s="9" t="s">
        <v>185</v>
      </c>
      <c r="H1" s="9" t="s">
        <v>186</v>
      </c>
      <c r="I1" s="111" t="s">
        <v>187</v>
      </c>
      <c r="J1" s="9" t="s">
        <v>188</v>
      </c>
    </row>
    <row r="2" spans="1:16" ht="72" x14ac:dyDescent="0.3">
      <c r="A2" s="112" t="s">
        <v>189</v>
      </c>
      <c r="B2" s="113" t="s">
        <v>190</v>
      </c>
      <c r="C2" s="113" t="s">
        <v>191</v>
      </c>
      <c r="D2" s="113" t="s">
        <v>132</v>
      </c>
      <c r="E2" s="113" t="s">
        <v>192</v>
      </c>
      <c r="F2" s="113" t="s">
        <v>190</v>
      </c>
      <c r="G2" s="113" t="s">
        <v>193</v>
      </c>
      <c r="H2" s="113" t="s">
        <v>194</v>
      </c>
      <c r="I2" s="114" t="s">
        <v>195</v>
      </c>
      <c r="J2" s="118"/>
      <c r="O2" s="119" t="s">
        <v>196</v>
      </c>
      <c r="P2" s="119" t="s">
        <v>197</v>
      </c>
    </row>
    <row r="3" spans="1:16" ht="43.2" x14ac:dyDescent="0.3">
      <c r="A3" s="112" t="s">
        <v>189</v>
      </c>
      <c r="B3" s="113" t="s">
        <v>190</v>
      </c>
      <c r="C3" s="113" t="s">
        <v>191</v>
      </c>
      <c r="D3" s="113" t="s">
        <v>170</v>
      </c>
      <c r="E3" s="113" t="s">
        <v>192</v>
      </c>
      <c r="F3" s="113" t="s">
        <v>190</v>
      </c>
      <c r="G3" s="113" t="s">
        <v>193</v>
      </c>
      <c r="H3" s="113" t="s">
        <v>194</v>
      </c>
      <c r="I3" s="114" t="s">
        <v>198</v>
      </c>
      <c r="J3" s="113"/>
      <c r="O3" s="113"/>
      <c r="P3" s="113" t="s">
        <v>192</v>
      </c>
    </row>
    <row r="4" spans="1:16" ht="28.8" x14ac:dyDescent="0.3">
      <c r="A4" s="112" t="s">
        <v>189</v>
      </c>
      <c r="B4" s="113" t="s">
        <v>190</v>
      </c>
      <c r="C4" s="113" t="s">
        <v>199</v>
      </c>
      <c r="D4" s="113" t="s">
        <v>200</v>
      </c>
      <c r="E4" s="113" t="s">
        <v>192</v>
      </c>
      <c r="F4" s="113" t="s">
        <v>190</v>
      </c>
      <c r="G4" s="113" t="s">
        <v>193</v>
      </c>
      <c r="H4" s="113" t="s">
        <v>201</v>
      </c>
      <c r="I4" s="114" t="s">
        <v>202</v>
      </c>
      <c r="J4" s="113"/>
      <c r="O4" s="119" t="s">
        <v>203</v>
      </c>
      <c r="P4" s="113" t="s">
        <v>132</v>
      </c>
    </row>
    <row r="5" spans="1:16" ht="43.2" x14ac:dyDescent="0.3">
      <c r="A5" s="112" t="s">
        <v>189</v>
      </c>
      <c r="B5" s="113" t="s">
        <v>190</v>
      </c>
      <c r="C5" s="113" t="s">
        <v>199</v>
      </c>
      <c r="D5" s="113" t="s">
        <v>120</v>
      </c>
      <c r="E5" s="113" t="s">
        <v>192</v>
      </c>
      <c r="F5" s="113" t="s">
        <v>190</v>
      </c>
      <c r="G5" s="113" t="s">
        <v>190</v>
      </c>
      <c r="H5" s="113" t="s">
        <v>204</v>
      </c>
      <c r="I5" s="114" t="s">
        <v>205</v>
      </c>
      <c r="J5" s="113"/>
      <c r="O5" s="113"/>
      <c r="P5" s="113">
        <v>2</v>
      </c>
    </row>
    <row r="6" spans="1:16" x14ac:dyDescent="0.3">
      <c r="A6" s="112" t="s">
        <v>189</v>
      </c>
      <c r="B6" s="113" t="s">
        <v>190</v>
      </c>
      <c r="C6" s="113" t="s">
        <v>206</v>
      </c>
      <c r="D6" s="113" t="s">
        <v>200</v>
      </c>
      <c r="E6" s="113" t="s">
        <v>192</v>
      </c>
      <c r="F6" s="113" t="s">
        <v>207</v>
      </c>
      <c r="G6" s="113" t="s">
        <v>193</v>
      </c>
      <c r="H6" s="113" t="s">
        <v>201</v>
      </c>
      <c r="I6" s="114" t="s">
        <v>190</v>
      </c>
      <c r="J6" s="113"/>
      <c r="O6" s="113" t="s">
        <v>208</v>
      </c>
      <c r="P6" s="113">
        <v>1</v>
      </c>
    </row>
    <row r="7" spans="1:16" x14ac:dyDescent="0.3">
      <c r="A7" s="112" t="s">
        <v>189</v>
      </c>
      <c r="B7" s="113" t="s">
        <v>190</v>
      </c>
      <c r="C7" s="113" t="s">
        <v>206</v>
      </c>
      <c r="D7" s="113" t="s">
        <v>209</v>
      </c>
      <c r="E7" s="113" t="s">
        <v>192</v>
      </c>
      <c r="F7" s="113" t="s">
        <v>210</v>
      </c>
      <c r="G7" s="113" t="s">
        <v>193</v>
      </c>
      <c r="H7" s="113" t="s">
        <v>194</v>
      </c>
      <c r="I7" s="114" t="s">
        <v>190</v>
      </c>
      <c r="J7" s="113"/>
      <c r="O7" s="113" t="s">
        <v>211</v>
      </c>
      <c r="P7" s="113">
        <v>1</v>
      </c>
    </row>
    <row r="8" spans="1:16" x14ac:dyDescent="0.3">
      <c r="A8" s="112" t="s">
        <v>189</v>
      </c>
      <c r="B8" s="113" t="s">
        <v>190</v>
      </c>
      <c r="C8" s="113" t="s">
        <v>206</v>
      </c>
      <c r="D8" s="113" t="s">
        <v>132</v>
      </c>
      <c r="E8" s="113" t="s">
        <v>192</v>
      </c>
      <c r="F8" s="113" t="s">
        <v>212</v>
      </c>
      <c r="G8" s="113" t="s">
        <v>193</v>
      </c>
      <c r="H8" s="113" t="s">
        <v>201</v>
      </c>
      <c r="I8" s="114" t="s">
        <v>190</v>
      </c>
      <c r="J8" s="113"/>
      <c r="O8" s="113" t="s">
        <v>213</v>
      </c>
      <c r="P8" s="113">
        <v>1</v>
      </c>
    </row>
    <row r="9" spans="1:16" ht="43.2" x14ac:dyDescent="0.3">
      <c r="A9" s="112" t="s">
        <v>189</v>
      </c>
      <c r="B9" s="113" t="s">
        <v>190</v>
      </c>
      <c r="C9" s="113" t="s">
        <v>214</v>
      </c>
      <c r="D9" s="113" t="s">
        <v>200</v>
      </c>
      <c r="E9" s="113" t="s">
        <v>192</v>
      </c>
      <c r="F9" s="113" t="s">
        <v>215</v>
      </c>
      <c r="G9" s="113" t="s">
        <v>193</v>
      </c>
      <c r="H9" s="113" t="s">
        <v>204</v>
      </c>
      <c r="I9" s="114" t="s">
        <v>216</v>
      </c>
      <c r="J9" s="113"/>
      <c r="O9" s="113" t="s">
        <v>217</v>
      </c>
      <c r="P9" s="113">
        <v>1</v>
      </c>
    </row>
    <row r="10" spans="1:16" x14ac:dyDescent="0.3">
      <c r="A10" s="112" t="s">
        <v>189</v>
      </c>
      <c r="B10" s="113" t="s">
        <v>190</v>
      </c>
      <c r="C10" s="113" t="s">
        <v>218</v>
      </c>
      <c r="D10" s="113" t="s">
        <v>120</v>
      </c>
      <c r="E10" s="113" t="s">
        <v>192</v>
      </c>
      <c r="F10" s="113" t="s">
        <v>219</v>
      </c>
      <c r="G10" s="113" t="s">
        <v>193</v>
      </c>
      <c r="H10" s="113" t="s">
        <v>201</v>
      </c>
      <c r="I10" s="114" t="s">
        <v>190</v>
      </c>
      <c r="J10" s="113"/>
      <c r="O10" s="113" t="s">
        <v>220</v>
      </c>
      <c r="P10" s="113">
        <v>1</v>
      </c>
    </row>
    <row r="11" spans="1:16" ht="43.2" x14ac:dyDescent="0.3">
      <c r="A11" s="112" t="s">
        <v>189</v>
      </c>
      <c r="B11" s="113" t="s">
        <v>190</v>
      </c>
      <c r="C11" s="113" t="s">
        <v>221</v>
      </c>
      <c r="D11" s="113" t="s">
        <v>200</v>
      </c>
      <c r="E11" s="113" t="s">
        <v>192</v>
      </c>
      <c r="F11" s="113" t="s">
        <v>222</v>
      </c>
      <c r="G11" s="113" t="s">
        <v>193</v>
      </c>
      <c r="H11" s="113" t="s">
        <v>201</v>
      </c>
      <c r="I11" s="114" t="s">
        <v>223</v>
      </c>
      <c r="J11" s="113"/>
      <c r="O11" s="113" t="s">
        <v>224</v>
      </c>
      <c r="P11" s="113">
        <v>1</v>
      </c>
    </row>
    <row r="12" spans="1:16" ht="43.2" x14ac:dyDescent="0.3">
      <c r="A12" s="112" t="s">
        <v>189</v>
      </c>
      <c r="B12" s="113" t="s">
        <v>190</v>
      </c>
      <c r="C12" s="113" t="s">
        <v>225</v>
      </c>
      <c r="D12" s="113" t="s">
        <v>132</v>
      </c>
      <c r="E12" s="113" t="s">
        <v>192</v>
      </c>
      <c r="F12" s="113" t="s">
        <v>224</v>
      </c>
      <c r="G12" s="113" t="s">
        <v>193</v>
      </c>
      <c r="H12" s="113" t="s">
        <v>194</v>
      </c>
      <c r="I12" s="114" t="s">
        <v>226</v>
      </c>
      <c r="J12" s="113"/>
      <c r="O12" s="113" t="s">
        <v>227</v>
      </c>
      <c r="P12" s="113">
        <v>1</v>
      </c>
    </row>
    <row r="13" spans="1:16" x14ac:dyDescent="0.3">
      <c r="A13" s="112" t="s">
        <v>189</v>
      </c>
      <c r="B13" s="113" t="s">
        <v>190</v>
      </c>
      <c r="C13" s="113" t="s">
        <v>225</v>
      </c>
      <c r="D13" s="113" t="s">
        <v>200</v>
      </c>
      <c r="E13" s="113" t="s">
        <v>192</v>
      </c>
      <c r="F13" s="113" t="s">
        <v>228</v>
      </c>
      <c r="G13" s="113" t="s">
        <v>193</v>
      </c>
      <c r="H13" s="113" t="s">
        <v>201</v>
      </c>
      <c r="I13" s="114" t="s">
        <v>190</v>
      </c>
      <c r="J13" s="113"/>
      <c r="O13" s="113" t="s">
        <v>18</v>
      </c>
      <c r="P13" s="113">
        <v>9</v>
      </c>
    </row>
    <row r="14" spans="1:16" ht="72" x14ac:dyDescent="0.3">
      <c r="A14" s="112" t="s">
        <v>189</v>
      </c>
      <c r="B14" s="113" t="s">
        <v>229</v>
      </c>
      <c r="C14" s="113" t="s">
        <v>230</v>
      </c>
      <c r="D14" s="113" t="s">
        <v>147</v>
      </c>
      <c r="E14" s="113" t="s">
        <v>192</v>
      </c>
      <c r="F14" s="113" t="s">
        <v>220</v>
      </c>
      <c r="G14" s="113" t="s">
        <v>193</v>
      </c>
      <c r="H14" s="113" t="s">
        <v>194</v>
      </c>
      <c r="I14" s="114" t="s">
        <v>231</v>
      </c>
      <c r="J14" s="113"/>
    </row>
    <row r="15" spans="1:16" ht="43.2" x14ac:dyDescent="0.3">
      <c r="A15" s="112" t="s">
        <v>189</v>
      </c>
      <c r="B15" s="113" t="s">
        <v>232</v>
      </c>
      <c r="C15" s="113" t="s">
        <v>233</v>
      </c>
      <c r="D15" s="113" t="s">
        <v>132</v>
      </c>
      <c r="E15" s="113" t="s">
        <v>192</v>
      </c>
      <c r="F15" s="113" t="s">
        <v>234</v>
      </c>
      <c r="G15" s="113" t="s">
        <v>193</v>
      </c>
      <c r="H15" s="113" t="s">
        <v>204</v>
      </c>
      <c r="I15" s="114" t="s">
        <v>235</v>
      </c>
      <c r="J15" s="113"/>
    </row>
    <row r="16" spans="1:16" ht="28.8" x14ac:dyDescent="0.3">
      <c r="A16" s="112" t="s">
        <v>189</v>
      </c>
      <c r="B16" s="113" t="s">
        <v>190</v>
      </c>
      <c r="C16" s="113" t="s">
        <v>233</v>
      </c>
      <c r="D16" s="113" t="s">
        <v>200</v>
      </c>
      <c r="E16" s="113" t="s">
        <v>192</v>
      </c>
      <c r="F16" s="113" t="s">
        <v>234</v>
      </c>
      <c r="G16" s="113" t="s">
        <v>193</v>
      </c>
      <c r="H16" s="113" t="s">
        <v>204</v>
      </c>
      <c r="I16" s="114" t="s">
        <v>236</v>
      </c>
      <c r="J16" s="113"/>
    </row>
    <row r="17" spans="1:10" x14ac:dyDescent="0.3">
      <c r="A17" s="112" t="s">
        <v>69</v>
      </c>
      <c r="B17" s="113" t="s">
        <v>229</v>
      </c>
      <c r="C17" s="113" t="s">
        <v>237</v>
      </c>
      <c r="D17" s="113" t="s">
        <v>160</v>
      </c>
      <c r="E17" s="113" t="s">
        <v>192</v>
      </c>
      <c r="F17" s="113" t="s">
        <v>238</v>
      </c>
      <c r="G17" s="113" t="s">
        <v>193</v>
      </c>
      <c r="H17" s="113" t="s">
        <v>201</v>
      </c>
      <c r="I17" s="114" t="s">
        <v>190</v>
      </c>
      <c r="J17" s="113"/>
    </row>
    <row r="18" spans="1:10" ht="43.2" x14ac:dyDescent="0.3">
      <c r="A18" s="112" t="s">
        <v>189</v>
      </c>
      <c r="B18" s="113" t="s">
        <v>190</v>
      </c>
      <c r="C18" s="113" t="s">
        <v>237</v>
      </c>
      <c r="D18" s="113" t="s">
        <v>132</v>
      </c>
      <c r="E18" s="113" t="s">
        <v>192</v>
      </c>
      <c r="F18" s="113" t="s">
        <v>217</v>
      </c>
      <c r="G18" s="113" t="s">
        <v>193</v>
      </c>
      <c r="H18" s="113" t="s">
        <v>194</v>
      </c>
      <c r="I18" s="114" t="s">
        <v>239</v>
      </c>
      <c r="J18" s="113"/>
    </row>
    <row r="19" spans="1:10" x14ac:dyDescent="0.3">
      <c r="A19" s="112" t="s">
        <v>189</v>
      </c>
      <c r="B19" s="113" t="s">
        <v>190</v>
      </c>
      <c r="C19" s="113" t="s">
        <v>237</v>
      </c>
      <c r="D19" s="113" t="s">
        <v>120</v>
      </c>
      <c r="E19" s="113" t="s">
        <v>192</v>
      </c>
      <c r="F19" s="113" t="s">
        <v>217</v>
      </c>
      <c r="G19" s="113" t="s">
        <v>193</v>
      </c>
      <c r="H19" s="113" t="s">
        <v>194</v>
      </c>
      <c r="I19" s="114" t="s">
        <v>190</v>
      </c>
      <c r="J19" s="113"/>
    </row>
    <row r="20" spans="1:10" x14ac:dyDescent="0.3">
      <c r="A20" s="112" t="s">
        <v>189</v>
      </c>
      <c r="B20" s="113" t="s">
        <v>190</v>
      </c>
      <c r="C20" s="113" t="s">
        <v>237</v>
      </c>
      <c r="D20" s="113" t="s">
        <v>200</v>
      </c>
      <c r="E20" s="113" t="s">
        <v>192</v>
      </c>
      <c r="F20" s="113" t="s">
        <v>217</v>
      </c>
      <c r="G20" s="113" t="s">
        <v>193</v>
      </c>
      <c r="H20" s="113" t="s">
        <v>194</v>
      </c>
      <c r="I20" s="114" t="s">
        <v>190</v>
      </c>
      <c r="J20" s="113"/>
    </row>
    <row r="21" spans="1:10" x14ac:dyDescent="0.3">
      <c r="A21" s="112" t="s">
        <v>189</v>
      </c>
      <c r="B21" s="113" t="s">
        <v>190</v>
      </c>
      <c r="C21" s="113" t="s">
        <v>237</v>
      </c>
      <c r="D21" s="113" t="s">
        <v>137</v>
      </c>
      <c r="E21" s="113" t="s">
        <v>192</v>
      </c>
      <c r="F21" s="113" t="s">
        <v>217</v>
      </c>
      <c r="G21" s="113" t="s">
        <v>193</v>
      </c>
      <c r="H21" s="113" t="s">
        <v>194</v>
      </c>
      <c r="I21" s="114" t="s">
        <v>190</v>
      </c>
      <c r="J21" s="113"/>
    </row>
    <row r="22" spans="1:10" x14ac:dyDescent="0.3">
      <c r="A22" s="112" t="s">
        <v>189</v>
      </c>
      <c r="B22" s="113" t="s">
        <v>190</v>
      </c>
      <c r="C22" s="113" t="s">
        <v>240</v>
      </c>
      <c r="D22" s="113" t="s">
        <v>241</v>
      </c>
      <c r="E22" s="113" t="s">
        <v>192</v>
      </c>
      <c r="F22" s="113" t="s">
        <v>242</v>
      </c>
      <c r="G22" s="113" t="s">
        <v>193</v>
      </c>
      <c r="H22" s="113" t="s">
        <v>201</v>
      </c>
      <c r="I22" s="114" t="s">
        <v>190</v>
      </c>
      <c r="J22" s="113"/>
    </row>
    <row r="23" spans="1:10" ht="28.8" x14ac:dyDescent="0.3">
      <c r="A23" s="112" t="s">
        <v>189</v>
      </c>
      <c r="B23" s="113" t="s">
        <v>190</v>
      </c>
      <c r="C23" s="113" t="s">
        <v>240</v>
      </c>
      <c r="D23" s="113" t="s">
        <v>120</v>
      </c>
      <c r="E23" s="113" t="s">
        <v>192</v>
      </c>
      <c r="F23" s="113" t="s">
        <v>243</v>
      </c>
      <c r="G23" s="113" t="s">
        <v>193</v>
      </c>
      <c r="H23" s="113" t="s">
        <v>204</v>
      </c>
      <c r="I23" s="114" t="s">
        <v>244</v>
      </c>
      <c r="J23" s="113"/>
    </row>
    <row r="24" spans="1:10" ht="57.6" x14ac:dyDescent="0.3">
      <c r="A24" s="112" t="s">
        <v>189</v>
      </c>
      <c r="B24" s="113" t="s">
        <v>190</v>
      </c>
      <c r="C24" s="113" t="s">
        <v>245</v>
      </c>
      <c r="D24" s="113" t="s">
        <v>246</v>
      </c>
      <c r="E24" s="113" t="s">
        <v>192</v>
      </c>
      <c r="F24" s="113" t="s">
        <v>247</v>
      </c>
      <c r="G24" s="113" t="s">
        <v>248</v>
      </c>
      <c r="H24" s="113" t="s">
        <v>204</v>
      </c>
      <c r="I24" s="114" t="s">
        <v>249</v>
      </c>
      <c r="J24" s="113"/>
    </row>
    <row r="25" spans="1:10" ht="28.8" x14ac:dyDescent="0.3">
      <c r="A25" s="112" t="s">
        <v>189</v>
      </c>
      <c r="B25" s="113" t="s">
        <v>190</v>
      </c>
      <c r="C25" s="113" t="s">
        <v>245</v>
      </c>
      <c r="D25" s="113" t="s">
        <v>200</v>
      </c>
      <c r="E25" s="113" t="s">
        <v>192</v>
      </c>
      <c r="F25" s="113" t="s">
        <v>250</v>
      </c>
      <c r="G25" s="113" t="s">
        <v>193</v>
      </c>
      <c r="H25" s="113" t="s">
        <v>194</v>
      </c>
      <c r="I25" s="114" t="s">
        <v>251</v>
      </c>
      <c r="J25" s="113"/>
    </row>
    <row r="26" spans="1:10" ht="72" x14ac:dyDescent="0.3">
      <c r="A26" s="112" t="s">
        <v>189</v>
      </c>
      <c r="B26" s="113" t="s">
        <v>190</v>
      </c>
      <c r="C26" s="113" t="s">
        <v>252</v>
      </c>
      <c r="D26" s="113" t="s">
        <v>120</v>
      </c>
      <c r="E26" s="113" t="s">
        <v>192</v>
      </c>
      <c r="F26" s="113" t="s">
        <v>253</v>
      </c>
      <c r="G26" s="113" t="s">
        <v>193</v>
      </c>
      <c r="H26" s="113" t="s">
        <v>204</v>
      </c>
      <c r="I26" s="114" t="s">
        <v>254</v>
      </c>
      <c r="J26" s="113"/>
    </row>
    <row r="27" spans="1:10" ht="43.2" x14ac:dyDescent="0.3">
      <c r="A27" s="112" t="s">
        <v>189</v>
      </c>
      <c r="B27" s="113" t="s">
        <v>190</v>
      </c>
      <c r="C27" s="113" t="s">
        <v>252</v>
      </c>
      <c r="D27" s="113" t="s">
        <v>200</v>
      </c>
      <c r="E27" s="113" t="s">
        <v>192</v>
      </c>
      <c r="F27" s="113" t="s">
        <v>255</v>
      </c>
      <c r="G27" s="113" t="s">
        <v>193</v>
      </c>
      <c r="H27" s="113" t="s">
        <v>204</v>
      </c>
      <c r="I27" s="114" t="s">
        <v>256</v>
      </c>
      <c r="J27" s="113"/>
    </row>
    <row r="28" spans="1:10" ht="43.2" x14ac:dyDescent="0.3">
      <c r="A28" s="112" t="s">
        <v>189</v>
      </c>
      <c r="B28" s="113" t="s">
        <v>190</v>
      </c>
      <c r="C28" s="113" t="s">
        <v>252</v>
      </c>
      <c r="D28" s="113" t="s">
        <v>257</v>
      </c>
      <c r="E28" s="113" t="s">
        <v>192</v>
      </c>
      <c r="F28" s="113" t="s">
        <v>258</v>
      </c>
      <c r="G28" s="113" t="s">
        <v>193</v>
      </c>
      <c r="H28" s="113" t="s">
        <v>194</v>
      </c>
      <c r="I28" s="114" t="s">
        <v>259</v>
      </c>
      <c r="J28" s="113"/>
    </row>
    <row r="29" spans="1:10" ht="187.2" x14ac:dyDescent="0.3">
      <c r="A29" s="112" t="s">
        <v>189</v>
      </c>
      <c r="B29" s="113" t="s">
        <v>229</v>
      </c>
      <c r="C29" s="113" t="s">
        <v>252</v>
      </c>
      <c r="D29" s="113" t="s">
        <v>165</v>
      </c>
      <c r="E29" s="113" t="s">
        <v>192</v>
      </c>
      <c r="F29" s="113" t="s">
        <v>260</v>
      </c>
      <c r="G29" s="113" t="s">
        <v>193</v>
      </c>
      <c r="H29" s="113" t="s">
        <v>194</v>
      </c>
      <c r="I29" s="114" t="s">
        <v>261</v>
      </c>
      <c r="J29" s="113"/>
    </row>
    <row r="30" spans="1:10" x14ac:dyDescent="0.3">
      <c r="A30" s="112" t="s">
        <v>189</v>
      </c>
      <c r="B30" s="113" t="s">
        <v>190</v>
      </c>
      <c r="C30" s="113" t="s">
        <v>262</v>
      </c>
      <c r="D30" s="113" t="s">
        <v>200</v>
      </c>
      <c r="E30" s="113" t="s">
        <v>192</v>
      </c>
      <c r="F30" s="113" t="s">
        <v>263</v>
      </c>
      <c r="G30" s="113" t="s">
        <v>193</v>
      </c>
      <c r="H30" s="113" t="s">
        <v>201</v>
      </c>
      <c r="I30" s="114" t="s">
        <v>190</v>
      </c>
      <c r="J30" s="113"/>
    </row>
    <row r="31" spans="1:10" ht="28.8" x14ac:dyDescent="0.3">
      <c r="A31" s="112" t="s">
        <v>189</v>
      </c>
      <c r="B31" s="113" t="s">
        <v>190</v>
      </c>
      <c r="C31" s="113" t="s">
        <v>262</v>
      </c>
      <c r="D31" s="113" t="s">
        <v>200</v>
      </c>
      <c r="E31" s="113" t="s">
        <v>192</v>
      </c>
      <c r="F31" s="113" t="s">
        <v>190</v>
      </c>
      <c r="G31" s="113" t="s">
        <v>193</v>
      </c>
      <c r="H31" s="113" t="s">
        <v>201</v>
      </c>
      <c r="I31" s="114" t="s">
        <v>202</v>
      </c>
      <c r="J31" s="113"/>
    </row>
    <row r="32" spans="1:10" x14ac:dyDescent="0.3">
      <c r="A32" s="112" t="s">
        <v>264</v>
      </c>
      <c r="B32" s="113" t="s">
        <v>264</v>
      </c>
      <c r="C32" s="113" t="s">
        <v>265</v>
      </c>
      <c r="D32" s="113" t="s">
        <v>132</v>
      </c>
      <c r="E32" s="113" t="s">
        <v>192</v>
      </c>
      <c r="F32" s="113" t="s">
        <v>220</v>
      </c>
      <c r="G32" s="113" t="s">
        <v>193</v>
      </c>
      <c r="H32" s="113" t="s">
        <v>194</v>
      </c>
      <c r="I32" s="114" t="s">
        <v>190</v>
      </c>
      <c r="J32" s="113"/>
    </row>
    <row r="33" spans="1:10" ht="129.6" x14ac:dyDescent="0.3">
      <c r="A33" s="112" t="s">
        <v>189</v>
      </c>
      <c r="B33" s="113" t="s">
        <v>190</v>
      </c>
      <c r="C33" s="113" t="s">
        <v>265</v>
      </c>
      <c r="D33" s="113" t="s">
        <v>147</v>
      </c>
      <c r="E33" s="113" t="s">
        <v>192</v>
      </c>
      <c r="F33" s="113" t="s">
        <v>266</v>
      </c>
      <c r="G33" s="113" t="s">
        <v>193</v>
      </c>
      <c r="H33" s="113" t="s">
        <v>194</v>
      </c>
      <c r="I33" s="114" t="s">
        <v>267</v>
      </c>
      <c r="J33" s="113"/>
    </row>
    <row r="34" spans="1:10" ht="43.2" x14ac:dyDescent="0.3">
      <c r="A34" s="112" t="s">
        <v>189</v>
      </c>
      <c r="B34" s="113" t="s">
        <v>190</v>
      </c>
      <c r="C34" s="113" t="s">
        <v>268</v>
      </c>
      <c r="D34" s="113" t="s">
        <v>200</v>
      </c>
      <c r="E34" s="113" t="s">
        <v>192</v>
      </c>
      <c r="F34" s="113" t="s">
        <v>269</v>
      </c>
      <c r="G34" s="113" t="s">
        <v>193</v>
      </c>
      <c r="H34" s="113" t="s">
        <v>204</v>
      </c>
      <c r="I34" s="114" t="s">
        <v>270</v>
      </c>
      <c r="J34" s="113"/>
    </row>
    <row r="35" spans="1:10" ht="28.8" x14ac:dyDescent="0.3">
      <c r="A35" s="112" t="s">
        <v>189</v>
      </c>
      <c r="B35" s="113" t="s">
        <v>190</v>
      </c>
      <c r="C35" s="113" t="s">
        <v>271</v>
      </c>
      <c r="D35" s="113" t="s">
        <v>56</v>
      </c>
      <c r="E35" s="113" t="s">
        <v>192</v>
      </c>
      <c r="F35" s="113" t="s">
        <v>272</v>
      </c>
      <c r="G35" s="113" t="s">
        <v>193</v>
      </c>
      <c r="H35" s="113" t="s">
        <v>194</v>
      </c>
      <c r="I35" s="114" t="s">
        <v>273</v>
      </c>
      <c r="J35" s="113"/>
    </row>
    <row r="36" spans="1:10" ht="28.8" x14ac:dyDescent="0.3">
      <c r="A36" s="112" t="s">
        <v>189</v>
      </c>
      <c r="B36" s="113" t="s">
        <v>190</v>
      </c>
      <c r="C36" s="113" t="s">
        <v>271</v>
      </c>
      <c r="D36" s="113" t="s">
        <v>200</v>
      </c>
      <c r="E36" s="113" t="s">
        <v>192</v>
      </c>
      <c r="F36" s="113" t="s">
        <v>274</v>
      </c>
      <c r="G36" s="113" t="s">
        <v>193</v>
      </c>
      <c r="H36" s="113" t="s">
        <v>194</v>
      </c>
      <c r="I36" s="114" t="s">
        <v>275</v>
      </c>
      <c r="J36" s="113"/>
    </row>
    <row r="37" spans="1:10" ht="28.8" x14ac:dyDescent="0.3">
      <c r="A37" s="112" t="s">
        <v>189</v>
      </c>
      <c r="B37" s="113" t="s">
        <v>190</v>
      </c>
      <c r="C37" s="113" t="s">
        <v>271</v>
      </c>
      <c r="D37" s="113" t="s">
        <v>56</v>
      </c>
      <c r="E37" s="113" t="s">
        <v>192</v>
      </c>
      <c r="F37" s="113" t="s">
        <v>210</v>
      </c>
      <c r="G37" s="113" t="s">
        <v>193</v>
      </c>
      <c r="H37" s="113" t="s">
        <v>194</v>
      </c>
      <c r="I37" s="114" t="s">
        <v>276</v>
      </c>
      <c r="J37" s="113"/>
    </row>
    <row r="38" spans="1:10" ht="57.6" x14ac:dyDescent="0.3">
      <c r="A38" s="112" t="s">
        <v>189</v>
      </c>
      <c r="B38" s="113" t="s">
        <v>190</v>
      </c>
      <c r="C38" s="113" t="s">
        <v>277</v>
      </c>
      <c r="D38" s="113" t="s">
        <v>56</v>
      </c>
      <c r="E38" s="113" t="s">
        <v>192</v>
      </c>
      <c r="F38" s="113" t="s">
        <v>210</v>
      </c>
      <c r="G38" s="113" t="s">
        <v>193</v>
      </c>
      <c r="H38" s="113" t="s">
        <v>194</v>
      </c>
      <c r="I38" s="114" t="s">
        <v>278</v>
      </c>
      <c r="J38" s="113"/>
    </row>
    <row r="39" spans="1:10" ht="28.8" x14ac:dyDescent="0.3">
      <c r="A39" s="112" t="s">
        <v>189</v>
      </c>
      <c r="B39" s="113" t="s">
        <v>190</v>
      </c>
      <c r="C39" s="113" t="s">
        <v>279</v>
      </c>
      <c r="D39" s="113" t="s">
        <v>200</v>
      </c>
      <c r="E39" s="113" t="s">
        <v>192</v>
      </c>
      <c r="F39" s="113" t="s">
        <v>280</v>
      </c>
      <c r="G39" s="113" t="s">
        <v>193</v>
      </c>
      <c r="H39" s="113" t="s">
        <v>194</v>
      </c>
      <c r="I39" s="114" t="s">
        <v>281</v>
      </c>
      <c r="J39" s="113"/>
    </row>
    <row r="40" spans="1:10" ht="43.2" x14ac:dyDescent="0.3">
      <c r="A40" s="112" t="s">
        <v>189</v>
      </c>
      <c r="B40" s="113" t="s">
        <v>190</v>
      </c>
      <c r="C40" s="113" t="s">
        <v>282</v>
      </c>
      <c r="D40" s="113" t="s">
        <v>200</v>
      </c>
      <c r="E40" s="113" t="s">
        <v>192</v>
      </c>
      <c r="F40" s="113" t="s">
        <v>283</v>
      </c>
      <c r="G40" s="113" t="s">
        <v>193</v>
      </c>
      <c r="H40" s="113" t="s">
        <v>204</v>
      </c>
      <c r="I40" s="114" t="s">
        <v>284</v>
      </c>
      <c r="J40" s="113"/>
    </row>
    <row r="41" spans="1:10" ht="144" x14ac:dyDescent="0.3">
      <c r="A41" s="112" t="s">
        <v>189</v>
      </c>
      <c r="B41" s="113" t="s">
        <v>190</v>
      </c>
      <c r="C41" s="113" t="s">
        <v>282</v>
      </c>
      <c r="D41" s="113" t="s">
        <v>200</v>
      </c>
      <c r="E41" s="113" t="s">
        <v>192</v>
      </c>
      <c r="F41" s="113" t="s">
        <v>285</v>
      </c>
      <c r="G41" s="113" t="s">
        <v>248</v>
      </c>
      <c r="H41" s="113" t="s">
        <v>201</v>
      </c>
      <c r="I41" s="114" t="s">
        <v>286</v>
      </c>
      <c r="J41" s="113"/>
    </row>
    <row r="42" spans="1:10" x14ac:dyDescent="0.3">
      <c r="A42" s="112" t="s">
        <v>189</v>
      </c>
      <c r="B42" s="113" t="s">
        <v>190</v>
      </c>
      <c r="C42" s="113" t="s">
        <v>287</v>
      </c>
      <c r="D42" s="113" t="s">
        <v>209</v>
      </c>
      <c r="E42" s="113" t="s">
        <v>192</v>
      </c>
      <c r="F42" s="113" t="s">
        <v>288</v>
      </c>
      <c r="G42" s="113" t="s">
        <v>193</v>
      </c>
      <c r="H42" s="113" t="s">
        <v>201</v>
      </c>
      <c r="I42" s="114" t="s">
        <v>190</v>
      </c>
      <c r="J42" s="113"/>
    </row>
    <row r="43" spans="1:10" ht="43.2" x14ac:dyDescent="0.3">
      <c r="A43" s="112" t="s">
        <v>189</v>
      </c>
      <c r="B43" s="113" t="s">
        <v>190</v>
      </c>
      <c r="C43" s="113" t="s">
        <v>287</v>
      </c>
      <c r="D43" s="113" t="s">
        <v>120</v>
      </c>
      <c r="E43" s="113" t="s">
        <v>192</v>
      </c>
      <c r="F43" s="113" t="s">
        <v>289</v>
      </c>
      <c r="G43" s="113" t="s">
        <v>193</v>
      </c>
      <c r="H43" s="113" t="s">
        <v>204</v>
      </c>
      <c r="I43" s="114" t="s">
        <v>290</v>
      </c>
      <c r="J43" s="113"/>
    </row>
    <row r="44" spans="1:10" ht="43.2" x14ac:dyDescent="0.3">
      <c r="A44" s="112" t="s">
        <v>189</v>
      </c>
      <c r="B44" s="113" t="s">
        <v>190</v>
      </c>
      <c r="C44" s="113" t="s">
        <v>287</v>
      </c>
      <c r="D44" s="113" t="s">
        <v>200</v>
      </c>
      <c r="E44" s="113" t="s">
        <v>192</v>
      </c>
      <c r="F44" s="113" t="s">
        <v>291</v>
      </c>
      <c r="G44" s="113" t="s">
        <v>193</v>
      </c>
      <c r="H44" s="113" t="s">
        <v>204</v>
      </c>
      <c r="I44" s="114" t="s">
        <v>292</v>
      </c>
      <c r="J44" s="113"/>
    </row>
    <row r="45" spans="1:10" ht="28.8" x14ac:dyDescent="0.3">
      <c r="A45" s="112" t="s">
        <v>189</v>
      </c>
      <c r="B45" s="113" t="s">
        <v>190</v>
      </c>
      <c r="C45" s="113" t="s">
        <v>287</v>
      </c>
      <c r="D45" s="113" t="s">
        <v>80</v>
      </c>
      <c r="E45" s="113" t="s">
        <v>192</v>
      </c>
      <c r="F45" s="113" t="s">
        <v>293</v>
      </c>
      <c r="G45" s="113" t="s">
        <v>193</v>
      </c>
      <c r="H45" s="113" t="s">
        <v>194</v>
      </c>
      <c r="I45" s="114" t="s">
        <v>281</v>
      </c>
      <c r="J45" s="113"/>
    </row>
    <row r="46" spans="1:10" ht="100.8" x14ac:dyDescent="0.3">
      <c r="A46" s="112" t="s">
        <v>189</v>
      </c>
      <c r="B46" s="113" t="s">
        <v>190</v>
      </c>
      <c r="C46" s="113" t="s">
        <v>287</v>
      </c>
      <c r="D46" s="113" t="s">
        <v>200</v>
      </c>
      <c r="E46" s="113" t="s">
        <v>192</v>
      </c>
      <c r="F46" s="113" t="s">
        <v>294</v>
      </c>
      <c r="G46" s="113" t="s">
        <v>193</v>
      </c>
      <c r="H46" s="113" t="s">
        <v>194</v>
      </c>
      <c r="I46" s="114" t="s">
        <v>295</v>
      </c>
      <c r="J46" s="113"/>
    </row>
    <row r="47" spans="1:10" ht="28.8" x14ac:dyDescent="0.3">
      <c r="A47" s="112" t="s">
        <v>189</v>
      </c>
      <c r="B47" s="113" t="s">
        <v>190</v>
      </c>
      <c r="C47" s="113" t="s">
        <v>287</v>
      </c>
      <c r="D47" s="113" t="s">
        <v>296</v>
      </c>
      <c r="E47" s="113" t="s">
        <v>192</v>
      </c>
      <c r="F47" s="113" t="s">
        <v>297</v>
      </c>
      <c r="G47" s="113" t="s">
        <v>193</v>
      </c>
      <c r="H47" s="113" t="s">
        <v>194</v>
      </c>
      <c r="I47" s="114" t="s">
        <v>298</v>
      </c>
      <c r="J47" s="113"/>
    </row>
    <row r="48" spans="1:10" ht="43.2" x14ac:dyDescent="0.3">
      <c r="A48" s="112" t="s">
        <v>189</v>
      </c>
      <c r="B48" s="113" t="s">
        <v>190</v>
      </c>
      <c r="C48" s="113" t="s">
        <v>299</v>
      </c>
      <c r="D48" s="113" t="s">
        <v>120</v>
      </c>
      <c r="E48" s="113" t="s">
        <v>192</v>
      </c>
      <c r="F48" s="113" t="s">
        <v>300</v>
      </c>
      <c r="G48" s="113" t="s">
        <v>193</v>
      </c>
      <c r="H48" s="113" t="s">
        <v>204</v>
      </c>
      <c r="I48" s="114" t="s">
        <v>301</v>
      </c>
      <c r="J48" s="113"/>
    </row>
    <row r="49" spans="1:10" ht="43.2" x14ac:dyDescent="0.3">
      <c r="A49" s="112" t="s">
        <v>189</v>
      </c>
      <c r="B49" s="113" t="s">
        <v>190</v>
      </c>
      <c r="C49" s="113" t="s">
        <v>299</v>
      </c>
      <c r="D49" s="113" t="s">
        <v>95</v>
      </c>
      <c r="E49" s="113" t="s">
        <v>192</v>
      </c>
      <c r="F49" s="113" t="s">
        <v>302</v>
      </c>
      <c r="G49" s="113" t="s">
        <v>193</v>
      </c>
      <c r="H49" s="113" t="s">
        <v>204</v>
      </c>
      <c r="I49" s="114" t="s">
        <v>303</v>
      </c>
      <c r="J49" s="113"/>
    </row>
    <row r="50" spans="1:10" ht="43.2" x14ac:dyDescent="0.3">
      <c r="A50" s="112" t="s">
        <v>189</v>
      </c>
      <c r="B50" s="113" t="s">
        <v>190</v>
      </c>
      <c r="C50" s="113" t="s">
        <v>299</v>
      </c>
      <c r="D50" s="113" t="s">
        <v>200</v>
      </c>
      <c r="E50" s="113" t="s">
        <v>192</v>
      </c>
      <c r="F50" s="113" t="s">
        <v>304</v>
      </c>
      <c r="G50" s="113" t="s">
        <v>193</v>
      </c>
      <c r="H50" s="113" t="s">
        <v>204</v>
      </c>
      <c r="I50" s="114" t="s">
        <v>305</v>
      </c>
      <c r="J50" s="113"/>
    </row>
    <row r="51" spans="1:10" x14ac:dyDescent="0.3">
      <c r="A51" s="112" t="s">
        <v>189</v>
      </c>
      <c r="B51" s="113" t="s">
        <v>190</v>
      </c>
      <c r="C51" s="113" t="s">
        <v>299</v>
      </c>
      <c r="D51" s="113" t="s">
        <v>306</v>
      </c>
      <c r="E51" s="113" t="s">
        <v>192</v>
      </c>
      <c r="F51" s="113" t="s">
        <v>307</v>
      </c>
      <c r="G51" s="113" t="s">
        <v>193</v>
      </c>
      <c r="H51" s="113" t="s">
        <v>194</v>
      </c>
      <c r="I51" s="114" t="s">
        <v>190</v>
      </c>
      <c r="J51" s="113"/>
    </row>
    <row r="52" spans="1:10" x14ac:dyDescent="0.3">
      <c r="A52" s="112" t="s">
        <v>189</v>
      </c>
      <c r="B52" s="113" t="s">
        <v>190</v>
      </c>
      <c r="C52" s="113" t="s">
        <v>308</v>
      </c>
      <c r="D52" s="113" t="s">
        <v>200</v>
      </c>
      <c r="E52" s="113" t="s">
        <v>192</v>
      </c>
      <c r="F52" s="113" t="s">
        <v>309</v>
      </c>
      <c r="G52" s="113" t="s">
        <v>193</v>
      </c>
      <c r="H52" s="113" t="s">
        <v>201</v>
      </c>
      <c r="I52" s="114" t="s">
        <v>190</v>
      </c>
      <c r="J52" s="113"/>
    </row>
    <row r="53" spans="1:10" ht="86.4" x14ac:dyDescent="0.3">
      <c r="A53" s="112" t="s">
        <v>264</v>
      </c>
      <c r="B53" s="113" t="s">
        <v>264</v>
      </c>
      <c r="C53" s="113" t="s">
        <v>308</v>
      </c>
      <c r="D53" s="113" t="s">
        <v>310</v>
      </c>
      <c r="E53" s="113" t="s">
        <v>192</v>
      </c>
      <c r="F53" s="113" t="s">
        <v>311</v>
      </c>
      <c r="G53" s="113" t="s">
        <v>193</v>
      </c>
      <c r="H53" s="113" t="s">
        <v>201</v>
      </c>
      <c r="I53" s="114" t="s">
        <v>312</v>
      </c>
      <c r="J53" s="113"/>
    </row>
    <row r="54" spans="1:10" x14ac:dyDescent="0.3">
      <c r="A54" s="112" t="s">
        <v>189</v>
      </c>
      <c r="B54" s="113" t="s">
        <v>190</v>
      </c>
      <c r="C54" s="113" t="s">
        <v>308</v>
      </c>
      <c r="D54" s="113" t="s">
        <v>200</v>
      </c>
      <c r="E54" s="113" t="s">
        <v>192</v>
      </c>
      <c r="F54" s="113" t="s">
        <v>313</v>
      </c>
      <c r="G54" s="113" t="s">
        <v>193</v>
      </c>
      <c r="H54" s="113" t="s">
        <v>201</v>
      </c>
      <c r="I54" s="114" t="s">
        <v>190</v>
      </c>
      <c r="J54" s="113"/>
    </row>
    <row r="55" spans="1:10" ht="43.2" x14ac:dyDescent="0.3">
      <c r="A55" s="112" t="s">
        <v>189</v>
      </c>
      <c r="B55" s="113" t="s">
        <v>190</v>
      </c>
      <c r="C55" s="113" t="s">
        <v>308</v>
      </c>
      <c r="D55" s="113" t="s">
        <v>120</v>
      </c>
      <c r="E55" s="113" t="s">
        <v>192</v>
      </c>
      <c r="F55" s="113" t="s">
        <v>314</v>
      </c>
      <c r="G55" s="113" t="s">
        <v>193</v>
      </c>
      <c r="H55" s="113" t="s">
        <v>204</v>
      </c>
      <c r="I55" s="114" t="s">
        <v>315</v>
      </c>
      <c r="J55" s="113"/>
    </row>
    <row r="56" spans="1:10" ht="43.2" x14ac:dyDescent="0.3">
      <c r="A56" s="112" t="s">
        <v>189</v>
      </c>
      <c r="B56" s="113" t="s">
        <v>190</v>
      </c>
      <c r="C56" s="113" t="s">
        <v>316</v>
      </c>
      <c r="D56" s="113" t="s">
        <v>200</v>
      </c>
      <c r="E56" s="113" t="s">
        <v>192</v>
      </c>
      <c r="F56" s="113" t="s">
        <v>317</v>
      </c>
      <c r="G56" s="113" t="s">
        <v>193</v>
      </c>
      <c r="H56" s="113" t="s">
        <v>204</v>
      </c>
      <c r="I56" s="114" t="s">
        <v>318</v>
      </c>
      <c r="J56" s="113"/>
    </row>
    <row r="57" spans="1:10" ht="28.8" x14ac:dyDescent="0.3">
      <c r="A57" s="112" t="s">
        <v>189</v>
      </c>
      <c r="B57" s="113" t="s">
        <v>190</v>
      </c>
      <c r="C57" s="113" t="s">
        <v>316</v>
      </c>
      <c r="D57" s="113" t="s">
        <v>200</v>
      </c>
      <c r="E57" s="113" t="s">
        <v>192</v>
      </c>
      <c r="F57" s="113" t="s">
        <v>319</v>
      </c>
      <c r="G57" s="113" t="s">
        <v>193</v>
      </c>
      <c r="H57" s="113" t="s">
        <v>204</v>
      </c>
      <c r="I57" s="114" t="s">
        <v>320</v>
      </c>
      <c r="J57" s="113"/>
    </row>
    <row r="58" spans="1:10" ht="28.8" x14ac:dyDescent="0.3">
      <c r="A58" s="112" t="s">
        <v>189</v>
      </c>
      <c r="B58" s="113" t="s">
        <v>190</v>
      </c>
      <c r="C58" s="113" t="s">
        <v>316</v>
      </c>
      <c r="D58" s="113" t="s">
        <v>200</v>
      </c>
      <c r="E58" s="113" t="s">
        <v>192</v>
      </c>
      <c r="F58" s="113" t="s">
        <v>321</v>
      </c>
      <c r="G58" s="113" t="s">
        <v>193</v>
      </c>
      <c r="H58" s="113" t="s">
        <v>194</v>
      </c>
      <c r="I58" s="114" t="s">
        <v>322</v>
      </c>
      <c r="J58" s="113"/>
    </row>
    <row r="59" spans="1:10" ht="28.8" x14ac:dyDescent="0.3">
      <c r="A59" s="112" t="s">
        <v>189</v>
      </c>
      <c r="B59" s="113" t="s">
        <v>190</v>
      </c>
      <c r="C59" s="113" t="s">
        <v>316</v>
      </c>
      <c r="D59" s="113" t="s">
        <v>200</v>
      </c>
      <c r="E59" s="113" t="s">
        <v>192</v>
      </c>
      <c r="F59" s="113" t="s">
        <v>224</v>
      </c>
      <c r="G59" s="113" t="s">
        <v>193</v>
      </c>
      <c r="H59" s="113" t="s">
        <v>194</v>
      </c>
      <c r="I59" s="114" t="s">
        <v>281</v>
      </c>
      <c r="J59" s="113"/>
    </row>
    <row r="60" spans="1:10" ht="28.8" x14ac:dyDescent="0.3">
      <c r="A60" s="112" t="s">
        <v>189</v>
      </c>
      <c r="B60" s="113" t="s">
        <v>190</v>
      </c>
      <c r="C60" s="113" t="s">
        <v>316</v>
      </c>
      <c r="D60" s="113" t="s">
        <v>200</v>
      </c>
      <c r="E60" s="113" t="s">
        <v>192</v>
      </c>
      <c r="F60" s="113" t="s">
        <v>323</v>
      </c>
      <c r="G60" s="113" t="s">
        <v>248</v>
      </c>
      <c r="H60" s="113" t="s">
        <v>194</v>
      </c>
      <c r="I60" s="114" t="s">
        <v>324</v>
      </c>
      <c r="J60" s="113"/>
    </row>
    <row r="61" spans="1:10" ht="57.6" x14ac:dyDescent="0.3">
      <c r="A61" s="112" t="s">
        <v>189</v>
      </c>
      <c r="B61" s="113" t="s">
        <v>190</v>
      </c>
      <c r="C61" s="113" t="s">
        <v>316</v>
      </c>
      <c r="D61" s="113" t="s">
        <v>209</v>
      </c>
      <c r="E61" s="113" t="s">
        <v>192</v>
      </c>
      <c r="F61" s="113" t="s">
        <v>325</v>
      </c>
      <c r="G61" s="113" t="s">
        <v>193</v>
      </c>
      <c r="H61" s="113" t="s">
        <v>194</v>
      </c>
      <c r="I61" s="114" t="s">
        <v>326</v>
      </c>
      <c r="J61" s="113"/>
    </row>
    <row r="62" spans="1:10" ht="86.4" x14ac:dyDescent="0.3">
      <c r="A62" s="112" t="s">
        <v>189</v>
      </c>
      <c r="B62" s="113" t="s">
        <v>190</v>
      </c>
      <c r="C62" s="113" t="s">
        <v>316</v>
      </c>
      <c r="D62" s="113" t="s">
        <v>56</v>
      </c>
      <c r="E62" s="113" t="s">
        <v>192</v>
      </c>
      <c r="F62" s="113" t="s">
        <v>327</v>
      </c>
      <c r="G62" s="113" t="s">
        <v>193</v>
      </c>
      <c r="H62" s="113" t="s">
        <v>194</v>
      </c>
      <c r="I62" s="114" t="s">
        <v>328</v>
      </c>
      <c r="J62" s="113"/>
    </row>
    <row r="63" spans="1:10" ht="43.2" x14ac:dyDescent="0.3">
      <c r="A63" s="112" t="s">
        <v>189</v>
      </c>
      <c r="B63" s="113" t="s">
        <v>190</v>
      </c>
      <c r="C63" s="113" t="s">
        <v>316</v>
      </c>
      <c r="D63" s="113" t="s">
        <v>296</v>
      </c>
      <c r="E63" s="113" t="s">
        <v>192</v>
      </c>
      <c r="F63" s="113" t="s">
        <v>260</v>
      </c>
      <c r="G63" s="113" t="s">
        <v>193</v>
      </c>
      <c r="H63" s="113" t="s">
        <v>194</v>
      </c>
      <c r="I63" s="114" t="s">
        <v>329</v>
      </c>
      <c r="J63" s="113"/>
    </row>
    <row r="64" spans="1:10" ht="57.6" x14ac:dyDescent="0.3">
      <c r="A64" s="112" t="s">
        <v>189</v>
      </c>
      <c r="B64" s="113" t="s">
        <v>190</v>
      </c>
      <c r="C64" s="113" t="s">
        <v>330</v>
      </c>
      <c r="D64" s="113" t="s">
        <v>120</v>
      </c>
      <c r="E64" s="113" t="s">
        <v>192</v>
      </c>
      <c r="F64" s="113" t="s">
        <v>331</v>
      </c>
      <c r="G64" s="113" t="s">
        <v>193</v>
      </c>
      <c r="H64" s="113" t="s">
        <v>204</v>
      </c>
      <c r="I64" s="114" t="s">
        <v>332</v>
      </c>
      <c r="J64" s="113"/>
    </row>
    <row r="65" spans="1:10" ht="28.8" x14ac:dyDescent="0.3">
      <c r="A65" s="112" t="s">
        <v>189</v>
      </c>
      <c r="B65" s="113" t="s">
        <v>190</v>
      </c>
      <c r="C65" s="113" t="s">
        <v>333</v>
      </c>
      <c r="D65" s="113" t="s">
        <v>200</v>
      </c>
      <c r="E65" s="113" t="s">
        <v>192</v>
      </c>
      <c r="F65" s="113" t="s">
        <v>334</v>
      </c>
      <c r="G65" s="113" t="s">
        <v>193</v>
      </c>
      <c r="H65" s="113" t="s">
        <v>194</v>
      </c>
      <c r="I65" s="114" t="s">
        <v>281</v>
      </c>
      <c r="J65" s="113"/>
    </row>
    <row r="66" spans="1:10" ht="115.2" x14ac:dyDescent="0.3">
      <c r="A66" s="112" t="s">
        <v>189</v>
      </c>
      <c r="B66" s="113" t="s">
        <v>190</v>
      </c>
      <c r="C66" s="113" t="s">
        <v>115</v>
      </c>
      <c r="D66" s="113" t="s">
        <v>56</v>
      </c>
      <c r="E66" s="113" t="s">
        <v>192</v>
      </c>
      <c r="F66" s="113" t="s">
        <v>335</v>
      </c>
      <c r="G66" s="113" t="s">
        <v>248</v>
      </c>
      <c r="H66" s="113" t="s">
        <v>194</v>
      </c>
      <c r="I66" s="114" t="s">
        <v>336</v>
      </c>
      <c r="J66" s="113"/>
    </row>
    <row r="67" spans="1:10" ht="43.2" x14ac:dyDescent="0.3">
      <c r="A67" s="112" t="s">
        <v>189</v>
      </c>
      <c r="B67" s="113" t="s">
        <v>190</v>
      </c>
      <c r="C67" s="113" t="s">
        <v>115</v>
      </c>
      <c r="D67" s="113" t="s">
        <v>200</v>
      </c>
      <c r="E67" s="113" t="s">
        <v>192</v>
      </c>
      <c r="F67" s="113" t="s">
        <v>337</v>
      </c>
      <c r="G67" s="113" t="s">
        <v>193</v>
      </c>
      <c r="H67" s="113" t="s">
        <v>194</v>
      </c>
      <c r="I67" s="114" t="s">
        <v>338</v>
      </c>
      <c r="J67" s="113"/>
    </row>
    <row r="68" spans="1:10" x14ac:dyDescent="0.3">
      <c r="A68" s="112" t="s">
        <v>189</v>
      </c>
      <c r="B68" s="113" t="s">
        <v>190</v>
      </c>
      <c r="C68" s="113" t="s">
        <v>115</v>
      </c>
      <c r="D68" s="113" t="s">
        <v>200</v>
      </c>
      <c r="E68" s="113" t="s">
        <v>192</v>
      </c>
      <c r="F68" s="113" t="s">
        <v>339</v>
      </c>
      <c r="G68" s="113" t="s">
        <v>193</v>
      </c>
      <c r="H68" s="113" t="s">
        <v>201</v>
      </c>
      <c r="I68" s="114" t="s">
        <v>190</v>
      </c>
      <c r="J68" s="113"/>
    </row>
    <row r="69" spans="1:10" ht="28.8" x14ac:dyDescent="0.3">
      <c r="A69" s="112" t="s">
        <v>189</v>
      </c>
      <c r="B69" s="113" t="s">
        <v>190</v>
      </c>
      <c r="C69" s="113" t="s">
        <v>115</v>
      </c>
      <c r="D69" s="113" t="s">
        <v>200</v>
      </c>
      <c r="E69" s="113" t="s">
        <v>192</v>
      </c>
      <c r="F69" s="113" t="s">
        <v>340</v>
      </c>
      <c r="G69" s="113" t="s">
        <v>193</v>
      </c>
      <c r="H69" s="113" t="s">
        <v>194</v>
      </c>
      <c r="I69" s="114" t="s">
        <v>281</v>
      </c>
      <c r="J69" s="113"/>
    </row>
    <row r="70" spans="1:10" x14ac:dyDescent="0.3">
      <c r="A70" s="112" t="s">
        <v>189</v>
      </c>
      <c r="B70" s="113" t="s">
        <v>190</v>
      </c>
      <c r="C70" s="113" t="s">
        <v>115</v>
      </c>
      <c r="D70" s="113" t="s">
        <v>120</v>
      </c>
      <c r="E70" s="113" t="s">
        <v>192</v>
      </c>
      <c r="F70" s="113" t="s">
        <v>341</v>
      </c>
      <c r="G70" s="113" t="s">
        <v>193</v>
      </c>
      <c r="H70" s="113" t="s">
        <v>201</v>
      </c>
      <c r="I70" s="114" t="s">
        <v>190</v>
      </c>
      <c r="J70" s="113"/>
    </row>
    <row r="71" spans="1:10" x14ac:dyDescent="0.3">
      <c r="A71" s="112" t="s">
        <v>69</v>
      </c>
      <c r="B71" s="113" t="s">
        <v>229</v>
      </c>
      <c r="C71" s="113" t="s">
        <v>115</v>
      </c>
      <c r="D71" s="113" t="s">
        <v>128</v>
      </c>
      <c r="E71" s="113" t="s">
        <v>192</v>
      </c>
      <c r="F71" s="113" t="s">
        <v>311</v>
      </c>
      <c r="G71" s="113" t="s">
        <v>193</v>
      </c>
      <c r="H71" s="113" t="s">
        <v>201</v>
      </c>
      <c r="I71" s="114" t="s">
        <v>190</v>
      </c>
      <c r="J71" s="113"/>
    </row>
    <row r="72" spans="1:10" x14ac:dyDescent="0.3">
      <c r="A72" s="112" t="s">
        <v>189</v>
      </c>
      <c r="B72" s="113" t="s">
        <v>190</v>
      </c>
      <c r="C72" s="113" t="s">
        <v>115</v>
      </c>
      <c r="D72" s="113" t="s">
        <v>16</v>
      </c>
      <c r="E72" s="113" t="s">
        <v>192</v>
      </c>
      <c r="F72" s="113" t="s">
        <v>342</v>
      </c>
      <c r="G72" s="113" t="s">
        <v>193</v>
      </c>
      <c r="H72" s="113" t="s">
        <v>201</v>
      </c>
      <c r="I72" s="114" t="s">
        <v>190</v>
      </c>
      <c r="J72" s="113"/>
    </row>
    <row r="73" spans="1:10" ht="57.6" x14ac:dyDescent="0.3">
      <c r="A73" s="112" t="s">
        <v>189</v>
      </c>
      <c r="B73" s="113" t="s">
        <v>190</v>
      </c>
      <c r="C73" s="113" t="s">
        <v>343</v>
      </c>
      <c r="D73" s="113" t="s">
        <v>200</v>
      </c>
      <c r="E73" s="113" t="s">
        <v>192</v>
      </c>
      <c r="F73" s="113" t="s">
        <v>344</v>
      </c>
      <c r="G73" s="113" t="s">
        <v>193</v>
      </c>
      <c r="H73" s="113" t="s">
        <v>204</v>
      </c>
      <c r="I73" s="114" t="s">
        <v>345</v>
      </c>
      <c r="J73" s="113"/>
    </row>
    <row r="74" spans="1:10" ht="43.2" x14ac:dyDescent="0.3">
      <c r="A74" s="112" t="s">
        <v>189</v>
      </c>
      <c r="B74" s="113" t="s">
        <v>190</v>
      </c>
      <c r="C74" s="113" t="s">
        <v>343</v>
      </c>
      <c r="D74" s="113" t="s">
        <v>200</v>
      </c>
      <c r="E74" s="113" t="s">
        <v>192</v>
      </c>
      <c r="F74" s="113" t="s">
        <v>346</v>
      </c>
      <c r="G74" s="113" t="s">
        <v>193</v>
      </c>
      <c r="H74" s="113" t="s">
        <v>204</v>
      </c>
      <c r="I74" s="114" t="s">
        <v>347</v>
      </c>
      <c r="J74" s="113"/>
    </row>
    <row r="75" spans="1:10" ht="244.8" x14ac:dyDescent="0.3">
      <c r="A75" s="112" t="s">
        <v>189</v>
      </c>
      <c r="B75" s="113" t="s">
        <v>190</v>
      </c>
      <c r="C75" s="113" t="s">
        <v>343</v>
      </c>
      <c r="D75" s="113" t="s">
        <v>160</v>
      </c>
      <c r="E75" s="113" t="s">
        <v>192</v>
      </c>
      <c r="F75" s="113" t="s">
        <v>348</v>
      </c>
      <c r="G75" s="113" t="s">
        <v>193</v>
      </c>
      <c r="H75" s="113" t="s">
        <v>201</v>
      </c>
      <c r="I75" s="114" t="s">
        <v>349</v>
      </c>
      <c r="J75" s="113"/>
    </row>
    <row r="76" spans="1:10" x14ac:dyDescent="0.3">
      <c r="A76" s="112" t="s">
        <v>189</v>
      </c>
      <c r="B76" s="113" t="s">
        <v>190</v>
      </c>
      <c r="C76" s="113" t="s">
        <v>350</v>
      </c>
      <c r="D76" s="113" t="s">
        <v>351</v>
      </c>
      <c r="E76" s="113" t="s">
        <v>192</v>
      </c>
      <c r="F76" s="113" t="s">
        <v>352</v>
      </c>
      <c r="G76" s="113" t="s">
        <v>193</v>
      </c>
      <c r="H76" s="113" t="s">
        <v>201</v>
      </c>
      <c r="I76" s="114" t="s">
        <v>190</v>
      </c>
      <c r="J76" s="113"/>
    </row>
    <row r="77" spans="1:10" x14ac:dyDescent="0.3">
      <c r="A77" s="112" t="s">
        <v>189</v>
      </c>
      <c r="B77" s="113" t="s">
        <v>190</v>
      </c>
      <c r="C77" s="113" t="s">
        <v>353</v>
      </c>
      <c r="D77" s="113" t="s">
        <v>56</v>
      </c>
      <c r="E77" s="113" t="s">
        <v>192</v>
      </c>
      <c r="F77" s="113" t="s">
        <v>313</v>
      </c>
      <c r="G77" s="113" t="s">
        <v>193</v>
      </c>
      <c r="H77" s="113" t="s">
        <v>201</v>
      </c>
      <c r="I77" s="114" t="s">
        <v>190</v>
      </c>
      <c r="J77" s="113"/>
    </row>
    <row r="78" spans="1:10" ht="28.8" x14ac:dyDescent="0.3">
      <c r="A78" s="112" t="s">
        <v>189</v>
      </c>
      <c r="B78" s="113" t="s">
        <v>190</v>
      </c>
      <c r="C78" s="113" t="s">
        <v>354</v>
      </c>
      <c r="D78" s="113" t="s">
        <v>120</v>
      </c>
      <c r="E78" s="113" t="s">
        <v>192</v>
      </c>
      <c r="F78" s="113" t="s">
        <v>355</v>
      </c>
      <c r="G78" s="113" t="s">
        <v>193</v>
      </c>
      <c r="H78" s="113" t="s">
        <v>194</v>
      </c>
      <c r="I78" s="114" t="s">
        <v>356</v>
      </c>
      <c r="J78" s="113"/>
    </row>
    <row r="79" spans="1:10" x14ac:dyDescent="0.3">
      <c r="A79" s="112" t="s">
        <v>189</v>
      </c>
      <c r="B79" s="113" t="s">
        <v>190</v>
      </c>
      <c r="C79" s="113" t="s">
        <v>357</v>
      </c>
      <c r="D79" s="113" t="s">
        <v>200</v>
      </c>
      <c r="E79" s="113" t="s">
        <v>192</v>
      </c>
      <c r="F79" s="113" t="s">
        <v>358</v>
      </c>
      <c r="G79" s="113" t="s">
        <v>193</v>
      </c>
      <c r="H79" s="113" t="s">
        <v>201</v>
      </c>
      <c r="I79" s="114" t="s">
        <v>190</v>
      </c>
      <c r="J79" s="113"/>
    </row>
    <row r="80" spans="1:10" x14ac:dyDescent="0.3">
      <c r="A80" s="112" t="s">
        <v>189</v>
      </c>
      <c r="B80" s="113" t="s">
        <v>190</v>
      </c>
      <c r="C80" s="113" t="s">
        <v>357</v>
      </c>
      <c r="D80" s="113" t="s">
        <v>209</v>
      </c>
      <c r="E80" s="113" t="s">
        <v>192</v>
      </c>
      <c r="F80" s="113" t="s">
        <v>359</v>
      </c>
      <c r="G80" s="113" t="s">
        <v>193</v>
      </c>
      <c r="H80" s="113" t="s">
        <v>201</v>
      </c>
      <c r="I80" s="114" t="s">
        <v>190</v>
      </c>
      <c r="J80" s="113"/>
    </row>
    <row r="81" spans="1:10" ht="28.8" x14ac:dyDescent="0.3">
      <c r="A81" s="112" t="s">
        <v>189</v>
      </c>
      <c r="B81" s="113" t="s">
        <v>190</v>
      </c>
      <c r="C81" s="113" t="s">
        <v>357</v>
      </c>
      <c r="D81" s="113" t="s">
        <v>200</v>
      </c>
      <c r="E81" s="113" t="s">
        <v>192</v>
      </c>
      <c r="F81" s="113" t="s">
        <v>360</v>
      </c>
      <c r="G81" s="113" t="s">
        <v>193</v>
      </c>
      <c r="H81" s="113" t="s">
        <v>194</v>
      </c>
      <c r="I81" s="114" t="s">
        <v>281</v>
      </c>
      <c r="J81" s="113"/>
    </row>
    <row r="82" spans="1:10" ht="43.2" x14ac:dyDescent="0.3">
      <c r="A82" s="112" t="s">
        <v>189</v>
      </c>
      <c r="B82" s="113" t="s">
        <v>190</v>
      </c>
      <c r="C82" s="113" t="s">
        <v>361</v>
      </c>
      <c r="D82" s="113" t="s">
        <v>200</v>
      </c>
      <c r="E82" s="113" t="s">
        <v>192</v>
      </c>
      <c r="F82" s="113" t="s">
        <v>362</v>
      </c>
      <c r="G82" s="113" t="s">
        <v>193</v>
      </c>
      <c r="H82" s="113" t="s">
        <v>204</v>
      </c>
      <c r="I82" s="114" t="s">
        <v>363</v>
      </c>
      <c r="J82" s="113"/>
    </row>
    <row r="83" spans="1:10" x14ac:dyDescent="0.3">
      <c r="A83" s="112" t="s">
        <v>189</v>
      </c>
      <c r="B83" s="113" t="s">
        <v>190</v>
      </c>
      <c r="C83" s="113" t="s">
        <v>361</v>
      </c>
      <c r="D83" s="113" t="s">
        <v>200</v>
      </c>
      <c r="E83" s="113" t="s">
        <v>192</v>
      </c>
      <c r="F83" s="113" t="s">
        <v>364</v>
      </c>
      <c r="G83" s="113" t="s">
        <v>193</v>
      </c>
      <c r="H83" s="113" t="s">
        <v>201</v>
      </c>
      <c r="I83" s="114" t="s">
        <v>190</v>
      </c>
      <c r="J83" s="113"/>
    </row>
    <row r="84" spans="1:10" ht="43.2" x14ac:dyDescent="0.3">
      <c r="A84" s="112" t="s">
        <v>189</v>
      </c>
      <c r="B84" s="113" t="s">
        <v>190</v>
      </c>
      <c r="C84" s="113" t="s">
        <v>361</v>
      </c>
      <c r="D84" s="113" t="s">
        <v>200</v>
      </c>
      <c r="E84" s="113" t="s">
        <v>192</v>
      </c>
      <c r="F84" s="113" t="s">
        <v>365</v>
      </c>
      <c r="G84" s="113" t="s">
        <v>248</v>
      </c>
      <c r="H84" s="113" t="s">
        <v>194</v>
      </c>
      <c r="I84" s="114" t="s">
        <v>366</v>
      </c>
      <c r="J84" s="113"/>
    </row>
    <row r="85" spans="1:10" x14ac:dyDescent="0.3">
      <c r="A85" s="112" t="s">
        <v>189</v>
      </c>
      <c r="B85" s="113" t="s">
        <v>190</v>
      </c>
      <c r="C85" s="113" t="s">
        <v>361</v>
      </c>
      <c r="D85" s="113" t="s">
        <v>200</v>
      </c>
      <c r="E85" s="113" t="s">
        <v>192</v>
      </c>
      <c r="F85" s="113" t="s">
        <v>367</v>
      </c>
      <c r="G85" s="113" t="s">
        <v>193</v>
      </c>
      <c r="H85" s="113" t="s">
        <v>201</v>
      </c>
      <c r="I85" s="114" t="s">
        <v>190</v>
      </c>
      <c r="J85" s="113"/>
    </row>
    <row r="86" spans="1:10" ht="28.8" x14ac:dyDescent="0.3">
      <c r="A86" s="112" t="s">
        <v>189</v>
      </c>
      <c r="B86" s="113" t="s">
        <v>190</v>
      </c>
      <c r="C86" s="113" t="s">
        <v>368</v>
      </c>
      <c r="D86" s="113" t="s">
        <v>200</v>
      </c>
      <c r="E86" s="113" t="s">
        <v>192</v>
      </c>
      <c r="F86" s="113" t="s">
        <v>369</v>
      </c>
      <c r="G86" s="113" t="s">
        <v>193</v>
      </c>
      <c r="H86" s="113" t="s">
        <v>194</v>
      </c>
      <c r="I86" s="114" t="s">
        <v>281</v>
      </c>
      <c r="J86" s="113"/>
    </row>
    <row r="87" spans="1:10" ht="28.8" x14ac:dyDescent="0.3">
      <c r="A87" s="112" t="s">
        <v>189</v>
      </c>
      <c r="B87" s="113" t="s">
        <v>190</v>
      </c>
      <c r="C87" s="113" t="s">
        <v>368</v>
      </c>
      <c r="D87" s="113" t="s">
        <v>370</v>
      </c>
      <c r="E87" s="113" t="s">
        <v>192</v>
      </c>
      <c r="F87" s="113" t="s">
        <v>371</v>
      </c>
      <c r="G87" s="113" t="s">
        <v>193</v>
      </c>
      <c r="H87" s="113" t="s">
        <v>194</v>
      </c>
      <c r="I87" s="114" t="s">
        <v>202</v>
      </c>
      <c r="J87" s="113"/>
    </row>
    <row r="88" spans="1:10" ht="28.8" x14ac:dyDescent="0.3">
      <c r="A88" s="112" t="s">
        <v>189</v>
      </c>
      <c r="B88" s="113" t="s">
        <v>190</v>
      </c>
      <c r="C88" s="113" t="s">
        <v>368</v>
      </c>
      <c r="D88" s="113" t="s">
        <v>147</v>
      </c>
      <c r="E88" s="113" t="s">
        <v>192</v>
      </c>
      <c r="F88" s="113" t="s">
        <v>372</v>
      </c>
      <c r="G88" s="113" t="s">
        <v>193</v>
      </c>
      <c r="H88" s="113" t="s">
        <v>194</v>
      </c>
      <c r="I88" s="114" t="s">
        <v>373</v>
      </c>
      <c r="J88" s="113"/>
    </row>
    <row r="89" spans="1:10" ht="28.8" x14ac:dyDescent="0.3">
      <c r="A89" s="112" t="s">
        <v>189</v>
      </c>
      <c r="B89" s="113" t="s">
        <v>190</v>
      </c>
      <c r="C89" s="113" t="s">
        <v>374</v>
      </c>
      <c r="D89" s="113" t="s">
        <v>200</v>
      </c>
      <c r="E89" s="113" t="s">
        <v>192</v>
      </c>
      <c r="F89" s="113" t="s">
        <v>375</v>
      </c>
      <c r="G89" s="113" t="s">
        <v>193</v>
      </c>
      <c r="H89" s="113" t="s">
        <v>204</v>
      </c>
      <c r="I89" s="114" t="s">
        <v>376</v>
      </c>
      <c r="J89" s="113"/>
    </row>
    <row r="90" spans="1:10" ht="43.2" x14ac:dyDescent="0.3">
      <c r="A90" s="112" t="s">
        <v>189</v>
      </c>
      <c r="B90" s="113" t="s">
        <v>190</v>
      </c>
      <c r="C90" s="113" t="s">
        <v>374</v>
      </c>
      <c r="D90" s="113" t="s">
        <v>200</v>
      </c>
      <c r="E90" s="113" t="s">
        <v>192</v>
      </c>
      <c r="F90" s="113" t="s">
        <v>377</v>
      </c>
      <c r="G90" s="113" t="s">
        <v>193</v>
      </c>
      <c r="H90" s="113" t="s">
        <v>204</v>
      </c>
      <c r="I90" s="114" t="s">
        <v>378</v>
      </c>
      <c r="J90" s="113"/>
    </row>
    <row r="91" spans="1:10" ht="28.8" x14ac:dyDescent="0.3">
      <c r="A91" s="112" t="s">
        <v>189</v>
      </c>
      <c r="B91" s="113" t="s">
        <v>190</v>
      </c>
      <c r="C91" s="113" t="s">
        <v>374</v>
      </c>
      <c r="D91" s="113" t="s">
        <v>200</v>
      </c>
      <c r="E91" s="113" t="s">
        <v>192</v>
      </c>
      <c r="F91" s="113" t="s">
        <v>379</v>
      </c>
      <c r="G91" s="113" t="s">
        <v>193</v>
      </c>
      <c r="H91" s="113" t="s">
        <v>204</v>
      </c>
      <c r="I91" s="114" t="s">
        <v>380</v>
      </c>
      <c r="J91" s="113"/>
    </row>
    <row r="92" spans="1:10" ht="28.8" x14ac:dyDescent="0.3">
      <c r="A92" s="112" t="s">
        <v>189</v>
      </c>
      <c r="B92" s="113" t="s">
        <v>190</v>
      </c>
      <c r="C92" s="113" t="s">
        <v>374</v>
      </c>
      <c r="D92" s="113" t="s">
        <v>200</v>
      </c>
      <c r="E92" s="113" t="s">
        <v>192</v>
      </c>
      <c r="F92" s="113" t="s">
        <v>381</v>
      </c>
      <c r="G92" s="113" t="s">
        <v>193</v>
      </c>
      <c r="H92" s="113" t="s">
        <v>204</v>
      </c>
      <c r="I92" s="114" t="s">
        <v>382</v>
      </c>
      <c r="J92" s="113"/>
    </row>
    <row r="93" spans="1:10" ht="28.8" x14ac:dyDescent="0.3">
      <c r="A93" s="112" t="s">
        <v>189</v>
      </c>
      <c r="B93" s="113" t="s">
        <v>190</v>
      </c>
      <c r="C93" s="113" t="s">
        <v>374</v>
      </c>
      <c r="D93" s="113" t="s">
        <v>200</v>
      </c>
      <c r="E93" s="113" t="s">
        <v>192</v>
      </c>
      <c r="F93" s="113" t="s">
        <v>327</v>
      </c>
      <c r="G93" s="113" t="s">
        <v>193</v>
      </c>
      <c r="H93" s="113" t="s">
        <v>194</v>
      </c>
      <c r="I93" s="114" t="s">
        <v>322</v>
      </c>
      <c r="J93" s="113"/>
    </row>
    <row r="94" spans="1:10" ht="28.8" x14ac:dyDescent="0.3">
      <c r="A94" s="112" t="s">
        <v>189</v>
      </c>
      <c r="B94" s="113" t="s">
        <v>190</v>
      </c>
      <c r="C94" s="113" t="s">
        <v>374</v>
      </c>
      <c r="D94" s="113" t="s">
        <v>200</v>
      </c>
      <c r="E94" s="113" t="s">
        <v>192</v>
      </c>
      <c r="F94" s="113" t="s">
        <v>383</v>
      </c>
      <c r="G94" s="113" t="s">
        <v>193</v>
      </c>
      <c r="H94" s="113" t="s">
        <v>194</v>
      </c>
      <c r="I94" s="114" t="s">
        <v>281</v>
      </c>
      <c r="J94" s="113"/>
    </row>
    <row r="95" spans="1:10" ht="28.8" x14ac:dyDescent="0.3">
      <c r="A95" s="112" t="s">
        <v>189</v>
      </c>
      <c r="B95" s="113" t="s">
        <v>190</v>
      </c>
      <c r="C95" s="113" t="s">
        <v>384</v>
      </c>
      <c r="D95" s="113" t="s">
        <v>120</v>
      </c>
      <c r="E95" s="113" t="s">
        <v>192</v>
      </c>
      <c r="F95" s="113" t="s">
        <v>385</v>
      </c>
      <c r="G95" s="113" t="s">
        <v>193</v>
      </c>
      <c r="H95" s="113" t="s">
        <v>204</v>
      </c>
      <c r="I95" s="114" t="s">
        <v>386</v>
      </c>
      <c r="J95" s="113"/>
    </row>
    <row r="96" spans="1:10" ht="28.8" x14ac:dyDescent="0.3">
      <c r="A96" s="112" t="s">
        <v>189</v>
      </c>
      <c r="B96" s="113" t="s">
        <v>190</v>
      </c>
      <c r="C96" s="113" t="s">
        <v>387</v>
      </c>
      <c r="D96" s="113" t="s">
        <v>200</v>
      </c>
      <c r="E96" s="113" t="s">
        <v>192</v>
      </c>
      <c r="F96" s="113" t="s">
        <v>388</v>
      </c>
      <c r="G96" s="113" t="s">
        <v>193</v>
      </c>
      <c r="H96" s="113" t="s">
        <v>194</v>
      </c>
      <c r="I96" s="114" t="s">
        <v>281</v>
      </c>
      <c r="J96" s="113"/>
    </row>
    <row r="97" spans="1:10" ht="28.8" x14ac:dyDescent="0.3">
      <c r="A97" s="112" t="s">
        <v>189</v>
      </c>
      <c r="B97" s="113" t="s">
        <v>190</v>
      </c>
      <c r="C97" s="113" t="s">
        <v>387</v>
      </c>
      <c r="D97" s="113" t="s">
        <v>200</v>
      </c>
      <c r="E97" s="113" t="s">
        <v>192</v>
      </c>
      <c r="F97" s="113" t="s">
        <v>389</v>
      </c>
      <c r="G97" s="113" t="s">
        <v>193</v>
      </c>
      <c r="H97" s="113" t="s">
        <v>194</v>
      </c>
      <c r="I97" s="114" t="s">
        <v>281</v>
      </c>
      <c r="J97" s="113"/>
    </row>
    <row r="98" spans="1:10" ht="57.6" x14ac:dyDescent="0.3">
      <c r="A98" s="112" t="s">
        <v>189</v>
      </c>
      <c r="B98" s="113" t="s">
        <v>190</v>
      </c>
      <c r="C98" s="113" t="s">
        <v>390</v>
      </c>
      <c r="D98" s="113" t="s">
        <v>200</v>
      </c>
      <c r="E98" s="113" t="s">
        <v>192</v>
      </c>
      <c r="F98" s="113" t="s">
        <v>391</v>
      </c>
      <c r="G98" s="113" t="s">
        <v>193</v>
      </c>
      <c r="H98" s="113" t="s">
        <v>204</v>
      </c>
      <c r="I98" s="114" t="s">
        <v>392</v>
      </c>
      <c r="J98" s="113"/>
    </row>
    <row r="99" spans="1:10" ht="57.6" x14ac:dyDescent="0.3">
      <c r="A99" s="112" t="s">
        <v>189</v>
      </c>
      <c r="B99" s="113" t="s">
        <v>190</v>
      </c>
      <c r="C99" s="113" t="s">
        <v>390</v>
      </c>
      <c r="D99" s="113" t="s">
        <v>154</v>
      </c>
      <c r="E99" s="113" t="s">
        <v>192</v>
      </c>
      <c r="F99" s="113" t="s">
        <v>393</v>
      </c>
      <c r="G99" s="113" t="s">
        <v>193</v>
      </c>
      <c r="H99" s="113" t="s">
        <v>201</v>
      </c>
      <c r="I99" s="114" t="s">
        <v>394</v>
      </c>
      <c r="J99" s="113"/>
    </row>
    <row r="100" spans="1:10" x14ac:dyDescent="0.3">
      <c r="A100" s="112" t="s">
        <v>189</v>
      </c>
      <c r="B100" s="113" t="s">
        <v>190</v>
      </c>
      <c r="C100" s="113" t="s">
        <v>390</v>
      </c>
      <c r="D100" s="113" t="s">
        <v>147</v>
      </c>
      <c r="E100" s="113" t="s">
        <v>192</v>
      </c>
      <c r="F100" s="113" t="s">
        <v>393</v>
      </c>
      <c r="G100" s="113" t="s">
        <v>193</v>
      </c>
      <c r="H100" s="113" t="s">
        <v>201</v>
      </c>
      <c r="I100" s="114" t="s">
        <v>190</v>
      </c>
      <c r="J100" s="113"/>
    </row>
    <row r="101" spans="1:10" x14ac:dyDescent="0.3">
      <c r="A101" s="112" t="s">
        <v>189</v>
      </c>
      <c r="B101" s="113" t="s">
        <v>190</v>
      </c>
      <c r="C101" s="113" t="s">
        <v>390</v>
      </c>
      <c r="D101" s="113" t="s">
        <v>200</v>
      </c>
      <c r="E101" s="113" t="s">
        <v>192</v>
      </c>
      <c r="F101" s="113" t="s">
        <v>395</v>
      </c>
      <c r="G101" s="113" t="s">
        <v>193</v>
      </c>
      <c r="H101" s="113" t="s">
        <v>201</v>
      </c>
      <c r="I101" s="114" t="s">
        <v>190</v>
      </c>
      <c r="J101" s="113"/>
    </row>
    <row r="102" spans="1:10" x14ac:dyDescent="0.3">
      <c r="A102" s="112" t="s">
        <v>189</v>
      </c>
      <c r="B102" s="113" t="s">
        <v>190</v>
      </c>
      <c r="C102" s="113" t="s">
        <v>390</v>
      </c>
      <c r="D102" s="113" t="s">
        <v>200</v>
      </c>
      <c r="E102" s="113" t="s">
        <v>192</v>
      </c>
      <c r="F102" s="113" t="s">
        <v>396</v>
      </c>
      <c r="G102" s="113" t="s">
        <v>193</v>
      </c>
      <c r="H102" s="113" t="s">
        <v>201</v>
      </c>
      <c r="I102" s="114" t="s">
        <v>190</v>
      </c>
      <c r="J102" s="113"/>
    </row>
    <row r="103" spans="1:10" ht="86.4" x14ac:dyDescent="0.3">
      <c r="A103" s="112" t="s">
        <v>189</v>
      </c>
      <c r="B103" s="113" t="s">
        <v>190</v>
      </c>
      <c r="C103" s="113" t="s">
        <v>390</v>
      </c>
      <c r="D103" s="113" t="s">
        <v>160</v>
      </c>
      <c r="E103" s="113" t="s">
        <v>192</v>
      </c>
      <c r="F103" s="113" t="s">
        <v>397</v>
      </c>
      <c r="G103" s="113" t="s">
        <v>193</v>
      </c>
      <c r="H103" s="113" t="s">
        <v>194</v>
      </c>
      <c r="I103" s="114" t="s">
        <v>398</v>
      </c>
      <c r="J103" s="113"/>
    </row>
    <row r="104" spans="1:10" ht="43.2" x14ac:dyDescent="0.3">
      <c r="A104" s="112" t="s">
        <v>189</v>
      </c>
      <c r="B104" s="113" t="s">
        <v>190</v>
      </c>
      <c r="C104" s="113" t="s">
        <v>399</v>
      </c>
      <c r="D104" s="113" t="s">
        <v>200</v>
      </c>
      <c r="E104" s="113" t="s">
        <v>192</v>
      </c>
      <c r="F104" s="113" t="s">
        <v>400</v>
      </c>
      <c r="G104" s="113" t="s">
        <v>193</v>
      </c>
      <c r="H104" s="113" t="s">
        <v>194</v>
      </c>
      <c r="I104" s="114" t="s">
        <v>401</v>
      </c>
      <c r="J104" s="113"/>
    </row>
    <row r="105" spans="1:10" ht="57.6" x14ac:dyDescent="0.3">
      <c r="A105" s="112" t="s">
        <v>189</v>
      </c>
      <c r="B105" s="113" t="s">
        <v>190</v>
      </c>
      <c r="C105" s="113" t="s">
        <v>399</v>
      </c>
      <c r="D105" s="113" t="s">
        <v>80</v>
      </c>
      <c r="E105" s="113" t="s">
        <v>192</v>
      </c>
      <c r="F105" s="113" t="s">
        <v>402</v>
      </c>
      <c r="G105" s="113" t="s">
        <v>193</v>
      </c>
      <c r="H105" s="113" t="s">
        <v>194</v>
      </c>
      <c r="I105" s="114" t="s">
        <v>403</v>
      </c>
      <c r="J105" s="113"/>
    </row>
    <row r="106" spans="1:10" ht="43.2" x14ac:dyDescent="0.3">
      <c r="A106" s="112" t="s">
        <v>189</v>
      </c>
      <c r="B106" s="113" t="s">
        <v>190</v>
      </c>
      <c r="C106" s="113" t="s">
        <v>399</v>
      </c>
      <c r="D106" s="113" t="s">
        <v>200</v>
      </c>
      <c r="E106" s="113" t="s">
        <v>192</v>
      </c>
      <c r="F106" s="113" t="s">
        <v>404</v>
      </c>
      <c r="G106" s="113" t="s">
        <v>193</v>
      </c>
      <c r="H106" s="113" t="s">
        <v>194</v>
      </c>
      <c r="I106" s="114" t="s">
        <v>405</v>
      </c>
      <c r="J106" s="113"/>
    </row>
    <row r="107" spans="1:10" ht="230.4" x14ac:dyDescent="0.3">
      <c r="A107" s="112" t="s">
        <v>189</v>
      </c>
      <c r="B107" s="113" t="s">
        <v>190</v>
      </c>
      <c r="C107" s="113" t="s">
        <v>399</v>
      </c>
      <c r="D107" s="113" t="s">
        <v>406</v>
      </c>
      <c r="E107" s="113" t="s">
        <v>192</v>
      </c>
      <c r="F107" s="113" t="s">
        <v>371</v>
      </c>
      <c r="G107" s="113" t="s">
        <v>193</v>
      </c>
      <c r="H107" s="113" t="s">
        <v>194</v>
      </c>
      <c r="I107" s="114" t="s">
        <v>407</v>
      </c>
      <c r="J107" s="113"/>
    </row>
    <row r="108" spans="1:10" ht="57.6" x14ac:dyDescent="0.3">
      <c r="A108" s="112" t="s">
        <v>189</v>
      </c>
      <c r="B108" s="113" t="s">
        <v>190</v>
      </c>
      <c r="C108" s="113" t="s">
        <v>399</v>
      </c>
      <c r="D108" s="113" t="s">
        <v>120</v>
      </c>
      <c r="E108" s="113" t="s">
        <v>192</v>
      </c>
      <c r="F108" s="113" t="s">
        <v>408</v>
      </c>
      <c r="G108" s="113" t="s">
        <v>193</v>
      </c>
      <c r="H108" s="113" t="s">
        <v>194</v>
      </c>
      <c r="I108" s="114" t="s">
        <v>409</v>
      </c>
      <c r="J108" s="113"/>
    </row>
    <row r="109" spans="1:10" ht="43.2" x14ac:dyDescent="0.3">
      <c r="A109" s="112" t="s">
        <v>189</v>
      </c>
      <c r="B109" s="113" t="s">
        <v>190</v>
      </c>
      <c r="C109" s="113" t="s">
        <v>410</v>
      </c>
      <c r="D109" s="113" t="s">
        <v>200</v>
      </c>
      <c r="E109" s="113" t="s">
        <v>192</v>
      </c>
      <c r="F109" s="113" t="s">
        <v>411</v>
      </c>
      <c r="G109" s="113" t="s">
        <v>190</v>
      </c>
      <c r="H109" s="113" t="s">
        <v>194</v>
      </c>
      <c r="I109" s="114" t="s">
        <v>366</v>
      </c>
      <c r="J109" s="113"/>
    </row>
    <row r="110" spans="1:10" ht="28.8" x14ac:dyDescent="0.3">
      <c r="A110" s="112" t="s">
        <v>189</v>
      </c>
      <c r="B110" s="113" t="s">
        <v>190</v>
      </c>
      <c r="C110" s="113" t="s">
        <v>410</v>
      </c>
      <c r="D110" s="113" t="s">
        <v>200</v>
      </c>
      <c r="E110" s="113" t="s">
        <v>192</v>
      </c>
      <c r="F110" s="113" t="s">
        <v>412</v>
      </c>
      <c r="G110" s="113" t="s">
        <v>193</v>
      </c>
      <c r="H110" s="113" t="s">
        <v>194</v>
      </c>
      <c r="I110" s="114" t="s">
        <v>281</v>
      </c>
      <c r="J110" s="113"/>
    </row>
    <row r="111" spans="1:10" x14ac:dyDescent="0.3">
      <c r="A111" s="112" t="s">
        <v>189</v>
      </c>
      <c r="B111" s="113" t="s">
        <v>190</v>
      </c>
      <c r="C111" s="113" t="s">
        <v>410</v>
      </c>
      <c r="D111" s="113" t="s">
        <v>137</v>
      </c>
      <c r="E111" s="113" t="s">
        <v>192</v>
      </c>
      <c r="F111" s="113" t="s">
        <v>413</v>
      </c>
      <c r="G111" s="113" t="s">
        <v>193</v>
      </c>
      <c r="H111" s="113" t="s">
        <v>194</v>
      </c>
      <c r="I111" s="114" t="s">
        <v>190</v>
      </c>
      <c r="J111" s="113"/>
    </row>
    <row r="112" spans="1:10" ht="28.8" x14ac:dyDescent="0.3">
      <c r="A112" s="112" t="s">
        <v>189</v>
      </c>
      <c r="B112" s="113" t="s">
        <v>190</v>
      </c>
      <c r="C112" s="113" t="s">
        <v>410</v>
      </c>
      <c r="D112" s="113" t="s">
        <v>200</v>
      </c>
      <c r="E112" s="113" t="s">
        <v>192</v>
      </c>
      <c r="F112" s="113" t="s">
        <v>413</v>
      </c>
      <c r="G112" s="113" t="s">
        <v>193</v>
      </c>
      <c r="H112" s="113" t="s">
        <v>194</v>
      </c>
      <c r="I112" s="114" t="s">
        <v>281</v>
      </c>
      <c r="J112" s="113"/>
    </row>
    <row r="113" spans="1:10" ht="28.8" x14ac:dyDescent="0.3">
      <c r="A113" s="112" t="s">
        <v>189</v>
      </c>
      <c r="B113" s="113" t="s">
        <v>190</v>
      </c>
      <c r="C113" s="113" t="s">
        <v>414</v>
      </c>
      <c r="D113" s="113" t="s">
        <v>56</v>
      </c>
      <c r="E113" s="113" t="s">
        <v>192</v>
      </c>
      <c r="F113" s="113" t="s">
        <v>415</v>
      </c>
      <c r="G113" s="113" t="s">
        <v>190</v>
      </c>
      <c r="H113" s="113" t="s">
        <v>194</v>
      </c>
      <c r="I113" s="114" t="s">
        <v>416</v>
      </c>
      <c r="J113" s="113"/>
    </row>
    <row r="114" spans="1:10" ht="43.2" x14ac:dyDescent="0.3">
      <c r="A114" s="112" t="s">
        <v>189</v>
      </c>
      <c r="B114" s="113" t="s">
        <v>190</v>
      </c>
      <c r="C114" s="113" t="s">
        <v>414</v>
      </c>
      <c r="D114" s="113" t="s">
        <v>200</v>
      </c>
      <c r="E114" s="113" t="s">
        <v>192</v>
      </c>
      <c r="F114" s="113" t="s">
        <v>417</v>
      </c>
      <c r="G114" s="113" t="s">
        <v>190</v>
      </c>
      <c r="H114" s="113" t="s">
        <v>204</v>
      </c>
      <c r="I114" s="114" t="s">
        <v>418</v>
      </c>
      <c r="J114" s="113"/>
    </row>
    <row r="115" spans="1:10" ht="43.2" x14ac:dyDescent="0.3">
      <c r="A115" s="112" t="s">
        <v>189</v>
      </c>
      <c r="B115" s="113" t="s">
        <v>190</v>
      </c>
      <c r="C115" s="113" t="s">
        <v>414</v>
      </c>
      <c r="D115" s="113" t="s">
        <v>120</v>
      </c>
      <c r="E115" s="113" t="s">
        <v>192</v>
      </c>
      <c r="F115" s="113" t="s">
        <v>419</v>
      </c>
      <c r="G115" s="113" t="s">
        <v>190</v>
      </c>
      <c r="H115" s="113" t="s">
        <v>204</v>
      </c>
      <c r="I115" s="114" t="s">
        <v>420</v>
      </c>
      <c r="J115" s="113"/>
    </row>
    <row r="116" spans="1:10" ht="28.8" x14ac:dyDescent="0.3">
      <c r="A116" s="112" t="s">
        <v>189</v>
      </c>
      <c r="B116" s="113" t="s">
        <v>190</v>
      </c>
      <c r="C116" s="113" t="s">
        <v>414</v>
      </c>
      <c r="D116" s="113" t="s">
        <v>200</v>
      </c>
      <c r="E116" s="113" t="s">
        <v>192</v>
      </c>
      <c r="F116" s="113" t="s">
        <v>421</v>
      </c>
      <c r="G116" s="113" t="s">
        <v>190</v>
      </c>
      <c r="H116" s="113" t="s">
        <v>194</v>
      </c>
      <c r="I116" s="114" t="s">
        <v>422</v>
      </c>
      <c r="J116" s="113"/>
    </row>
    <row r="117" spans="1:10" ht="86.4" x14ac:dyDescent="0.3">
      <c r="A117" s="112" t="s">
        <v>189</v>
      </c>
      <c r="B117" s="113" t="s">
        <v>190</v>
      </c>
      <c r="C117" s="113" t="s">
        <v>414</v>
      </c>
      <c r="D117" s="113" t="s">
        <v>200</v>
      </c>
      <c r="E117" s="113" t="s">
        <v>192</v>
      </c>
      <c r="F117" s="113" t="s">
        <v>423</v>
      </c>
      <c r="G117" s="113" t="s">
        <v>190</v>
      </c>
      <c r="H117" s="113" t="s">
        <v>194</v>
      </c>
      <c r="I117" s="114" t="s">
        <v>424</v>
      </c>
      <c r="J117" s="113"/>
    </row>
    <row r="118" spans="1:10" ht="43.2" x14ac:dyDescent="0.3">
      <c r="A118" s="112" t="s">
        <v>189</v>
      </c>
      <c r="B118" s="113" t="s">
        <v>190</v>
      </c>
      <c r="C118" s="113" t="s">
        <v>414</v>
      </c>
      <c r="D118" s="113" t="s">
        <v>200</v>
      </c>
      <c r="E118" s="113" t="s">
        <v>192</v>
      </c>
      <c r="F118" s="113" t="s">
        <v>425</v>
      </c>
      <c r="G118" s="113" t="s">
        <v>190</v>
      </c>
      <c r="H118" s="113" t="s">
        <v>194</v>
      </c>
      <c r="I118" s="114" t="s">
        <v>426</v>
      </c>
      <c r="J118" s="113"/>
    </row>
    <row r="119" spans="1:10" ht="28.8" x14ac:dyDescent="0.3">
      <c r="A119" s="112" t="s">
        <v>189</v>
      </c>
      <c r="B119" s="113" t="s">
        <v>190</v>
      </c>
      <c r="C119" s="113" t="s">
        <v>414</v>
      </c>
      <c r="D119" s="113" t="s">
        <v>200</v>
      </c>
      <c r="E119" s="113" t="s">
        <v>192</v>
      </c>
      <c r="F119" s="113" t="s">
        <v>334</v>
      </c>
      <c r="G119" s="113" t="s">
        <v>193</v>
      </c>
      <c r="H119" s="113" t="s">
        <v>194</v>
      </c>
      <c r="I119" s="114" t="s">
        <v>281</v>
      </c>
      <c r="J119" s="113"/>
    </row>
    <row r="120" spans="1:10" ht="28.8" x14ac:dyDescent="0.3">
      <c r="A120" s="112" t="s">
        <v>189</v>
      </c>
      <c r="B120" s="113" t="s">
        <v>190</v>
      </c>
      <c r="C120" s="113" t="s">
        <v>427</v>
      </c>
      <c r="D120" s="113" t="s">
        <v>200</v>
      </c>
      <c r="E120" s="113" t="s">
        <v>192</v>
      </c>
      <c r="F120" s="113" t="s">
        <v>428</v>
      </c>
      <c r="G120" s="113" t="s">
        <v>190</v>
      </c>
      <c r="H120" s="113" t="s">
        <v>194</v>
      </c>
      <c r="I120" s="114" t="s">
        <v>281</v>
      </c>
      <c r="J120" s="113"/>
    </row>
    <row r="121" spans="1:10" ht="28.8" x14ac:dyDescent="0.3">
      <c r="A121" s="112" t="s">
        <v>189</v>
      </c>
      <c r="B121" s="113" t="s">
        <v>190</v>
      </c>
      <c r="C121" s="113" t="s">
        <v>427</v>
      </c>
      <c r="D121" s="113" t="s">
        <v>200</v>
      </c>
      <c r="E121" s="113" t="s">
        <v>192</v>
      </c>
      <c r="F121" s="113" t="s">
        <v>429</v>
      </c>
      <c r="G121" s="113" t="s">
        <v>190</v>
      </c>
      <c r="H121" s="113" t="s">
        <v>194</v>
      </c>
      <c r="I121" s="114" t="s">
        <v>281</v>
      </c>
      <c r="J121" s="113"/>
    </row>
    <row r="122" spans="1:10" ht="28.8" x14ac:dyDescent="0.3">
      <c r="A122" s="112" t="s">
        <v>189</v>
      </c>
      <c r="B122" s="113" t="s">
        <v>190</v>
      </c>
      <c r="C122" s="113" t="s">
        <v>427</v>
      </c>
      <c r="D122" s="113" t="s">
        <v>200</v>
      </c>
      <c r="E122" s="113" t="s">
        <v>192</v>
      </c>
      <c r="F122" s="113" t="s">
        <v>430</v>
      </c>
      <c r="G122" s="113" t="s">
        <v>190</v>
      </c>
      <c r="H122" s="113" t="s">
        <v>194</v>
      </c>
      <c r="I122" s="114" t="s">
        <v>431</v>
      </c>
      <c r="J122" s="113"/>
    </row>
    <row r="123" spans="1:10" ht="28.8" x14ac:dyDescent="0.3">
      <c r="A123" s="112" t="s">
        <v>189</v>
      </c>
      <c r="B123" s="113" t="s">
        <v>190</v>
      </c>
      <c r="C123" s="113" t="s">
        <v>427</v>
      </c>
      <c r="D123" s="113" t="s">
        <v>200</v>
      </c>
      <c r="E123" s="113" t="s">
        <v>192</v>
      </c>
      <c r="F123" s="113" t="s">
        <v>432</v>
      </c>
      <c r="G123" s="113" t="s">
        <v>190</v>
      </c>
      <c r="H123" s="113" t="s">
        <v>194</v>
      </c>
      <c r="I123" s="114" t="s">
        <v>281</v>
      </c>
      <c r="J123" s="113"/>
    </row>
    <row r="124" spans="1:10" ht="43.2" x14ac:dyDescent="0.3">
      <c r="A124" s="112" t="s">
        <v>189</v>
      </c>
      <c r="B124" s="113" t="s">
        <v>190</v>
      </c>
      <c r="C124" s="113" t="s">
        <v>433</v>
      </c>
      <c r="D124" s="113" t="s">
        <v>200</v>
      </c>
      <c r="E124" s="113" t="s">
        <v>192</v>
      </c>
      <c r="F124" s="113" t="s">
        <v>434</v>
      </c>
      <c r="G124" s="113" t="s">
        <v>248</v>
      </c>
      <c r="H124" s="113" t="s">
        <v>204</v>
      </c>
      <c r="I124" s="114" t="s">
        <v>435</v>
      </c>
      <c r="J124" s="113"/>
    </row>
    <row r="125" spans="1:10" ht="43.2" x14ac:dyDescent="0.3">
      <c r="A125" s="112" t="s">
        <v>189</v>
      </c>
      <c r="B125" s="113" t="s">
        <v>190</v>
      </c>
      <c r="C125" s="113" t="s">
        <v>436</v>
      </c>
      <c r="D125" s="113" t="s">
        <v>200</v>
      </c>
      <c r="E125" s="113" t="s">
        <v>192</v>
      </c>
      <c r="F125" s="113" t="s">
        <v>437</v>
      </c>
      <c r="G125" s="113" t="s">
        <v>193</v>
      </c>
      <c r="H125" s="113" t="s">
        <v>194</v>
      </c>
      <c r="I125" s="114" t="s">
        <v>366</v>
      </c>
      <c r="J125" s="113"/>
    </row>
    <row r="126" spans="1:10" ht="57.6" x14ac:dyDescent="0.3">
      <c r="A126" s="112" t="s">
        <v>189</v>
      </c>
      <c r="B126" s="113" t="s">
        <v>190</v>
      </c>
      <c r="C126" s="113" t="s">
        <v>438</v>
      </c>
      <c r="D126" s="113" t="s">
        <v>120</v>
      </c>
      <c r="E126" s="113" t="s">
        <v>192</v>
      </c>
      <c r="F126" s="113" t="s">
        <v>439</v>
      </c>
      <c r="G126" s="113" t="s">
        <v>193</v>
      </c>
      <c r="H126" s="113" t="s">
        <v>204</v>
      </c>
      <c r="I126" s="114" t="s">
        <v>440</v>
      </c>
      <c r="J126" s="113"/>
    </row>
    <row r="127" spans="1:10" x14ac:dyDescent="0.3">
      <c r="A127" s="112" t="s">
        <v>189</v>
      </c>
      <c r="B127" s="113" t="s">
        <v>190</v>
      </c>
      <c r="C127" s="113" t="s">
        <v>438</v>
      </c>
      <c r="D127" s="113" t="s">
        <v>200</v>
      </c>
      <c r="E127" s="113" t="s">
        <v>192</v>
      </c>
      <c r="F127" s="113" t="s">
        <v>432</v>
      </c>
      <c r="G127" s="113" t="s">
        <v>190</v>
      </c>
      <c r="H127" s="113" t="s">
        <v>194</v>
      </c>
      <c r="I127" s="114" t="s">
        <v>190</v>
      </c>
      <c r="J127" s="113"/>
    </row>
    <row r="128" spans="1:10" ht="72" x14ac:dyDescent="0.3">
      <c r="A128" s="112" t="s">
        <v>189</v>
      </c>
      <c r="B128" s="113" t="s">
        <v>190</v>
      </c>
      <c r="C128" s="113" t="s">
        <v>438</v>
      </c>
      <c r="D128" s="113" t="s">
        <v>128</v>
      </c>
      <c r="E128" s="113" t="s">
        <v>192</v>
      </c>
      <c r="F128" s="113" t="s">
        <v>441</v>
      </c>
      <c r="G128" s="113" t="s">
        <v>193</v>
      </c>
      <c r="H128" s="113" t="s">
        <v>194</v>
      </c>
      <c r="I128" s="114" t="s">
        <v>442</v>
      </c>
      <c r="J128" s="113"/>
    </row>
    <row r="129" spans="1:10" ht="43.2" x14ac:dyDescent="0.3">
      <c r="A129" s="112" t="s">
        <v>189</v>
      </c>
      <c r="B129" s="113" t="s">
        <v>190</v>
      </c>
      <c r="C129" s="113" t="s">
        <v>443</v>
      </c>
      <c r="D129" s="113" t="s">
        <v>200</v>
      </c>
      <c r="E129" s="113" t="s">
        <v>192</v>
      </c>
      <c r="F129" s="113" t="s">
        <v>444</v>
      </c>
      <c r="G129" s="113" t="s">
        <v>193</v>
      </c>
      <c r="H129" s="113" t="s">
        <v>204</v>
      </c>
      <c r="I129" s="114" t="s">
        <v>445</v>
      </c>
      <c r="J129" s="113"/>
    </row>
    <row r="130" spans="1:10" ht="43.2" x14ac:dyDescent="0.3">
      <c r="A130" s="112" t="s">
        <v>189</v>
      </c>
      <c r="B130" s="113" t="s">
        <v>190</v>
      </c>
      <c r="C130" s="113" t="s">
        <v>443</v>
      </c>
      <c r="D130" s="113" t="s">
        <v>200</v>
      </c>
      <c r="E130" s="113" t="s">
        <v>192</v>
      </c>
      <c r="F130" s="113" t="s">
        <v>446</v>
      </c>
      <c r="G130" s="113" t="s">
        <v>193</v>
      </c>
      <c r="H130" s="113" t="s">
        <v>204</v>
      </c>
      <c r="I130" s="114" t="s">
        <v>447</v>
      </c>
      <c r="J130" s="113"/>
    </row>
    <row r="131" spans="1:10" ht="43.2" x14ac:dyDescent="0.3">
      <c r="A131" s="112" t="s">
        <v>189</v>
      </c>
      <c r="B131" s="113" t="s">
        <v>190</v>
      </c>
      <c r="C131" s="113" t="s">
        <v>443</v>
      </c>
      <c r="D131" s="113" t="s">
        <v>200</v>
      </c>
      <c r="E131" s="113" t="s">
        <v>192</v>
      </c>
      <c r="F131" s="113" t="s">
        <v>448</v>
      </c>
      <c r="G131" s="113" t="s">
        <v>193</v>
      </c>
      <c r="H131" s="113" t="s">
        <v>204</v>
      </c>
      <c r="I131" s="114" t="s">
        <v>449</v>
      </c>
      <c r="J131" s="113"/>
    </row>
    <row r="132" spans="1:10" ht="129.6" x14ac:dyDescent="0.3">
      <c r="A132" s="112" t="s">
        <v>189</v>
      </c>
      <c r="B132" s="113" t="s">
        <v>190</v>
      </c>
      <c r="C132" s="113" t="s">
        <v>450</v>
      </c>
      <c r="D132" s="113" t="s">
        <v>241</v>
      </c>
      <c r="E132" s="113" t="s">
        <v>192</v>
      </c>
      <c r="F132" s="113" t="s">
        <v>451</v>
      </c>
      <c r="G132" s="113" t="s">
        <v>193</v>
      </c>
      <c r="H132" s="113" t="s">
        <v>194</v>
      </c>
      <c r="I132" s="114" t="s">
        <v>452</v>
      </c>
      <c r="J132" s="113"/>
    </row>
    <row r="133" spans="1:10" x14ac:dyDescent="0.3">
      <c r="A133" s="112" t="s">
        <v>189</v>
      </c>
      <c r="B133" s="113" t="s">
        <v>190</v>
      </c>
      <c r="C133" s="113" t="s">
        <v>453</v>
      </c>
      <c r="D133" s="113" t="s">
        <v>200</v>
      </c>
      <c r="E133" s="113" t="s">
        <v>192</v>
      </c>
      <c r="F133" s="113" t="s">
        <v>454</v>
      </c>
      <c r="G133" s="113" t="s">
        <v>193</v>
      </c>
      <c r="H133" s="113" t="s">
        <v>201</v>
      </c>
      <c r="I133" s="114" t="s">
        <v>190</v>
      </c>
      <c r="J133" s="113"/>
    </row>
    <row r="134" spans="1:10" ht="28.8" x14ac:dyDescent="0.3">
      <c r="A134" s="112" t="s">
        <v>189</v>
      </c>
      <c r="B134" s="113" t="s">
        <v>190</v>
      </c>
      <c r="C134" s="113" t="s">
        <v>453</v>
      </c>
      <c r="D134" s="113" t="s">
        <v>200</v>
      </c>
      <c r="E134" s="113" t="s">
        <v>192</v>
      </c>
      <c r="F134" s="113" t="s">
        <v>455</v>
      </c>
      <c r="G134" s="113" t="s">
        <v>193</v>
      </c>
      <c r="H134" s="113" t="s">
        <v>204</v>
      </c>
      <c r="I134" s="114" t="s">
        <v>456</v>
      </c>
      <c r="J134" s="113"/>
    </row>
    <row r="135" spans="1:10" x14ac:dyDescent="0.3">
      <c r="A135" s="112" t="s">
        <v>189</v>
      </c>
      <c r="B135" s="113" t="s">
        <v>190</v>
      </c>
      <c r="C135" s="113" t="s">
        <v>457</v>
      </c>
      <c r="D135" s="113" t="s">
        <v>200</v>
      </c>
      <c r="E135" s="113" t="s">
        <v>192</v>
      </c>
      <c r="F135" s="113" t="s">
        <v>458</v>
      </c>
      <c r="G135" s="113" t="s">
        <v>193</v>
      </c>
      <c r="H135" s="113" t="s">
        <v>201</v>
      </c>
      <c r="I135" s="114" t="s">
        <v>190</v>
      </c>
      <c r="J135" s="113"/>
    </row>
    <row r="136" spans="1:10" ht="28.8" x14ac:dyDescent="0.3">
      <c r="A136" s="112" t="s">
        <v>189</v>
      </c>
      <c r="B136" s="113" t="s">
        <v>190</v>
      </c>
      <c r="C136" s="113" t="s">
        <v>457</v>
      </c>
      <c r="D136" s="113" t="s">
        <v>200</v>
      </c>
      <c r="E136" s="113" t="s">
        <v>192</v>
      </c>
      <c r="F136" s="113" t="s">
        <v>459</v>
      </c>
      <c r="G136" s="113" t="s">
        <v>193</v>
      </c>
      <c r="H136" s="113" t="s">
        <v>204</v>
      </c>
      <c r="I136" s="114" t="s">
        <v>460</v>
      </c>
      <c r="J136" s="113"/>
    </row>
    <row r="137" spans="1:10" x14ac:dyDescent="0.3">
      <c r="A137" s="112" t="s">
        <v>189</v>
      </c>
      <c r="B137" s="113" t="s">
        <v>190</v>
      </c>
      <c r="C137" s="113" t="s">
        <v>461</v>
      </c>
      <c r="D137" s="113" t="s">
        <v>200</v>
      </c>
      <c r="E137" s="113" t="s">
        <v>192</v>
      </c>
      <c r="F137" s="113" t="s">
        <v>462</v>
      </c>
      <c r="G137" s="113" t="s">
        <v>193</v>
      </c>
      <c r="H137" s="113" t="s">
        <v>201</v>
      </c>
      <c r="I137" s="114" t="s">
        <v>190</v>
      </c>
      <c r="J137" s="113"/>
    </row>
    <row r="138" spans="1:10" x14ac:dyDescent="0.3">
      <c r="A138" s="112" t="s">
        <v>264</v>
      </c>
      <c r="B138" s="113" t="s">
        <v>264</v>
      </c>
      <c r="C138" s="113" t="s">
        <v>461</v>
      </c>
      <c r="D138" s="113" t="s">
        <v>56</v>
      </c>
      <c r="E138" s="113" t="s">
        <v>192</v>
      </c>
      <c r="F138" s="113" t="s">
        <v>462</v>
      </c>
      <c r="G138" s="113" t="s">
        <v>193</v>
      </c>
      <c r="H138" s="113" t="s">
        <v>201</v>
      </c>
      <c r="I138" s="114" t="s">
        <v>190</v>
      </c>
      <c r="J138" s="113"/>
    </row>
    <row r="139" spans="1:10" ht="43.2" x14ac:dyDescent="0.3">
      <c r="A139" s="112" t="s">
        <v>189</v>
      </c>
      <c r="B139" s="113" t="s">
        <v>190</v>
      </c>
      <c r="C139" s="113" t="s">
        <v>461</v>
      </c>
      <c r="D139" s="113" t="s">
        <v>200</v>
      </c>
      <c r="E139" s="113" t="s">
        <v>192</v>
      </c>
      <c r="F139" s="113" t="s">
        <v>463</v>
      </c>
      <c r="G139" s="113" t="s">
        <v>193</v>
      </c>
      <c r="H139" s="113" t="s">
        <v>204</v>
      </c>
      <c r="I139" s="114" t="s">
        <v>464</v>
      </c>
      <c r="J139" s="113"/>
    </row>
    <row r="140" spans="1:10" ht="43.2" x14ac:dyDescent="0.3">
      <c r="A140" s="112" t="s">
        <v>189</v>
      </c>
      <c r="B140" s="113" t="s">
        <v>190</v>
      </c>
      <c r="C140" s="113" t="s">
        <v>461</v>
      </c>
      <c r="D140" s="113" t="s">
        <v>241</v>
      </c>
      <c r="E140" s="113" t="s">
        <v>192</v>
      </c>
      <c r="F140" s="113" t="s">
        <v>465</v>
      </c>
      <c r="G140" s="113" t="s">
        <v>193</v>
      </c>
      <c r="H140" s="113" t="s">
        <v>204</v>
      </c>
      <c r="I140" s="114" t="s">
        <v>466</v>
      </c>
      <c r="J140" s="113"/>
    </row>
    <row r="141" spans="1:10" x14ac:dyDescent="0.3">
      <c r="A141" s="112" t="s">
        <v>189</v>
      </c>
      <c r="B141" s="113" t="s">
        <v>190</v>
      </c>
      <c r="C141" s="113" t="s">
        <v>461</v>
      </c>
      <c r="D141" s="113" t="s">
        <v>200</v>
      </c>
      <c r="E141" s="113" t="s">
        <v>192</v>
      </c>
      <c r="F141" s="113" t="s">
        <v>467</v>
      </c>
      <c r="G141" s="113" t="s">
        <v>193</v>
      </c>
      <c r="H141" s="113" t="s">
        <v>201</v>
      </c>
      <c r="I141" s="114" t="s">
        <v>190</v>
      </c>
      <c r="J141" s="113"/>
    </row>
    <row r="142" spans="1:10" x14ac:dyDescent="0.3">
      <c r="A142" s="112" t="s">
        <v>189</v>
      </c>
      <c r="B142" s="113" t="s">
        <v>190</v>
      </c>
      <c r="C142" s="113" t="s">
        <v>468</v>
      </c>
      <c r="D142" s="113" t="s">
        <v>200</v>
      </c>
      <c r="E142" s="113" t="s">
        <v>192</v>
      </c>
      <c r="F142" s="113" t="s">
        <v>469</v>
      </c>
      <c r="G142" s="113" t="s">
        <v>193</v>
      </c>
      <c r="H142" s="113" t="s">
        <v>201</v>
      </c>
      <c r="I142" s="114" t="s">
        <v>190</v>
      </c>
      <c r="J142" s="113"/>
    </row>
    <row r="143" spans="1:10" x14ac:dyDescent="0.3">
      <c r="A143" s="112" t="s">
        <v>189</v>
      </c>
      <c r="B143" s="113" t="s">
        <v>190</v>
      </c>
      <c r="C143" s="113" t="s">
        <v>468</v>
      </c>
      <c r="D143" s="113" t="s">
        <v>200</v>
      </c>
      <c r="E143" s="113" t="s">
        <v>192</v>
      </c>
      <c r="F143" s="113" t="s">
        <v>470</v>
      </c>
      <c r="G143" s="113" t="s">
        <v>193</v>
      </c>
      <c r="H143" s="113" t="s">
        <v>201</v>
      </c>
      <c r="I143" s="114" t="s">
        <v>190</v>
      </c>
      <c r="J143" s="113"/>
    </row>
    <row r="144" spans="1:10" x14ac:dyDescent="0.3">
      <c r="A144" s="112" t="s">
        <v>189</v>
      </c>
      <c r="B144" s="113" t="s">
        <v>190</v>
      </c>
      <c r="C144" s="113" t="s">
        <v>468</v>
      </c>
      <c r="D144" s="113" t="s">
        <v>241</v>
      </c>
      <c r="E144" s="113" t="s">
        <v>192</v>
      </c>
      <c r="F144" s="113" t="s">
        <v>471</v>
      </c>
      <c r="G144" s="113" t="s">
        <v>193</v>
      </c>
      <c r="H144" s="113" t="s">
        <v>194</v>
      </c>
      <c r="I144" s="114" t="s">
        <v>190</v>
      </c>
      <c r="J144" s="113"/>
    </row>
    <row r="145" spans="1:10" ht="43.2" x14ac:dyDescent="0.3">
      <c r="A145" s="112" t="s">
        <v>189</v>
      </c>
      <c r="B145" s="113" t="s">
        <v>190</v>
      </c>
      <c r="C145" s="113" t="s">
        <v>472</v>
      </c>
      <c r="D145" s="113" t="s">
        <v>120</v>
      </c>
      <c r="E145" s="113" t="s">
        <v>192</v>
      </c>
      <c r="F145" s="113" t="s">
        <v>473</v>
      </c>
      <c r="G145" s="113" t="s">
        <v>193</v>
      </c>
      <c r="H145" s="113" t="s">
        <v>204</v>
      </c>
      <c r="I145" s="114" t="s">
        <v>474</v>
      </c>
      <c r="J145" s="113"/>
    </row>
    <row r="146" spans="1:10" x14ac:dyDescent="0.3">
      <c r="A146" s="112" t="s">
        <v>189</v>
      </c>
      <c r="B146" s="113" t="s">
        <v>190</v>
      </c>
      <c r="C146" s="113" t="s">
        <v>472</v>
      </c>
      <c r="D146" s="113" t="s">
        <v>200</v>
      </c>
      <c r="E146" s="113" t="s">
        <v>192</v>
      </c>
      <c r="F146" s="113" t="s">
        <v>475</v>
      </c>
      <c r="G146" s="113" t="s">
        <v>248</v>
      </c>
      <c r="H146" s="113" t="s">
        <v>201</v>
      </c>
      <c r="I146" s="114" t="s">
        <v>190</v>
      </c>
      <c r="J146" s="113"/>
    </row>
    <row r="147" spans="1:10" ht="28.8" x14ac:dyDescent="0.3">
      <c r="A147" s="112" t="s">
        <v>189</v>
      </c>
      <c r="B147" s="113" t="s">
        <v>190</v>
      </c>
      <c r="C147" s="113" t="s">
        <v>472</v>
      </c>
      <c r="D147" s="113" t="s">
        <v>128</v>
      </c>
      <c r="E147" s="113" t="s">
        <v>192</v>
      </c>
      <c r="F147" s="113" t="s">
        <v>441</v>
      </c>
      <c r="G147" s="113" t="s">
        <v>193</v>
      </c>
      <c r="H147" s="113" t="s">
        <v>194</v>
      </c>
      <c r="I147" s="114" t="s">
        <v>202</v>
      </c>
      <c r="J147" s="113"/>
    </row>
    <row r="148" spans="1:10" ht="43.2" x14ac:dyDescent="0.3">
      <c r="A148" s="112" t="s">
        <v>189</v>
      </c>
      <c r="B148" s="113" t="s">
        <v>190</v>
      </c>
      <c r="C148" s="113" t="s">
        <v>476</v>
      </c>
      <c r="D148" s="113" t="s">
        <v>56</v>
      </c>
      <c r="E148" s="113" t="s">
        <v>192</v>
      </c>
      <c r="F148" s="113" t="s">
        <v>477</v>
      </c>
      <c r="G148" s="113" t="s">
        <v>193</v>
      </c>
      <c r="H148" s="113" t="s">
        <v>204</v>
      </c>
      <c r="I148" s="114" t="s">
        <v>478</v>
      </c>
      <c r="J148" s="113"/>
    </row>
    <row r="149" spans="1:10" ht="72" x14ac:dyDescent="0.3">
      <c r="A149" s="112" t="s">
        <v>189</v>
      </c>
      <c r="B149" s="113" t="s">
        <v>190</v>
      </c>
      <c r="C149" s="113" t="s">
        <v>476</v>
      </c>
      <c r="D149" s="113" t="s">
        <v>89</v>
      </c>
      <c r="E149" s="113" t="s">
        <v>192</v>
      </c>
      <c r="F149" s="113" t="s">
        <v>479</v>
      </c>
      <c r="G149" s="113" t="s">
        <v>193</v>
      </c>
      <c r="H149" s="113" t="s">
        <v>204</v>
      </c>
      <c r="I149" s="114" t="s">
        <v>480</v>
      </c>
      <c r="J149" s="113"/>
    </row>
    <row r="150" spans="1:10" ht="43.2" x14ac:dyDescent="0.3">
      <c r="A150" s="112" t="s">
        <v>189</v>
      </c>
      <c r="B150" s="113" t="s">
        <v>190</v>
      </c>
      <c r="C150" s="113" t="s">
        <v>476</v>
      </c>
      <c r="D150" s="113" t="s">
        <v>200</v>
      </c>
      <c r="E150" s="113" t="s">
        <v>192</v>
      </c>
      <c r="F150" s="113" t="s">
        <v>479</v>
      </c>
      <c r="G150" s="113" t="s">
        <v>193</v>
      </c>
      <c r="H150" s="113" t="s">
        <v>204</v>
      </c>
      <c r="I150" s="114" t="s">
        <v>481</v>
      </c>
      <c r="J150" s="113"/>
    </row>
    <row r="151" spans="1:10" x14ac:dyDescent="0.3">
      <c r="A151" s="112" t="s">
        <v>189</v>
      </c>
      <c r="B151" s="113" t="s">
        <v>190</v>
      </c>
      <c r="C151" s="113" t="s">
        <v>476</v>
      </c>
      <c r="D151" s="113" t="s">
        <v>89</v>
      </c>
      <c r="E151" s="113" t="s">
        <v>192</v>
      </c>
      <c r="F151" s="113" t="s">
        <v>458</v>
      </c>
      <c r="G151" s="113" t="s">
        <v>193</v>
      </c>
      <c r="H151" s="113" t="s">
        <v>201</v>
      </c>
      <c r="I151" s="114" t="s">
        <v>190</v>
      </c>
      <c r="J151" s="113"/>
    </row>
    <row r="152" spans="1:10" x14ac:dyDescent="0.3">
      <c r="A152" s="112" t="s">
        <v>189</v>
      </c>
      <c r="B152" s="113" t="s">
        <v>190</v>
      </c>
      <c r="C152" s="113" t="s">
        <v>476</v>
      </c>
      <c r="D152" s="113" t="s">
        <v>200</v>
      </c>
      <c r="E152" s="113" t="s">
        <v>192</v>
      </c>
      <c r="F152" s="113" t="s">
        <v>482</v>
      </c>
      <c r="G152" s="113" t="s">
        <v>193</v>
      </c>
      <c r="H152" s="113" t="s">
        <v>201</v>
      </c>
      <c r="I152" s="114" t="s">
        <v>190</v>
      </c>
      <c r="J152" s="113"/>
    </row>
    <row r="153" spans="1:10" x14ac:dyDescent="0.3">
      <c r="A153" s="112" t="s">
        <v>189</v>
      </c>
      <c r="B153" s="113" t="s">
        <v>190</v>
      </c>
      <c r="C153" s="113" t="s">
        <v>476</v>
      </c>
      <c r="D153" s="113" t="s">
        <v>200</v>
      </c>
      <c r="E153" s="113" t="s">
        <v>192</v>
      </c>
      <c r="F153" s="113" t="s">
        <v>483</v>
      </c>
      <c r="G153" s="113" t="s">
        <v>193</v>
      </c>
      <c r="H153" s="113" t="s">
        <v>201</v>
      </c>
      <c r="I153" s="114" t="s">
        <v>190</v>
      </c>
      <c r="J153" s="113"/>
    </row>
    <row r="154" spans="1:10" x14ac:dyDescent="0.3">
      <c r="A154" s="112" t="s">
        <v>189</v>
      </c>
      <c r="B154" s="113" t="s">
        <v>190</v>
      </c>
      <c r="C154" s="113" t="s">
        <v>476</v>
      </c>
      <c r="D154" s="113" t="s">
        <v>200</v>
      </c>
      <c r="E154" s="113" t="s">
        <v>192</v>
      </c>
      <c r="F154" s="113" t="s">
        <v>484</v>
      </c>
      <c r="G154" s="113" t="s">
        <v>193</v>
      </c>
      <c r="H154" s="113" t="s">
        <v>201</v>
      </c>
      <c r="I154" s="114" t="s">
        <v>190</v>
      </c>
      <c r="J154" s="113"/>
    </row>
    <row r="155" spans="1:10" ht="100.8" x14ac:dyDescent="0.3">
      <c r="A155" s="112" t="s">
        <v>189</v>
      </c>
      <c r="B155" s="113" t="s">
        <v>190</v>
      </c>
      <c r="C155" s="113" t="s">
        <v>476</v>
      </c>
      <c r="D155" s="113" t="s">
        <v>485</v>
      </c>
      <c r="E155" s="113" t="s">
        <v>192</v>
      </c>
      <c r="F155" s="113" t="s">
        <v>486</v>
      </c>
      <c r="G155" s="113" t="s">
        <v>193</v>
      </c>
      <c r="H155" s="113" t="s">
        <v>194</v>
      </c>
      <c r="I155" s="114" t="s">
        <v>487</v>
      </c>
      <c r="J155" s="113"/>
    </row>
    <row r="156" spans="1:10" ht="43.2" x14ac:dyDescent="0.3">
      <c r="A156" s="112" t="s">
        <v>189</v>
      </c>
      <c r="B156" s="113" t="s">
        <v>190</v>
      </c>
      <c r="C156" s="113" t="s">
        <v>476</v>
      </c>
      <c r="D156" s="113" t="s">
        <v>80</v>
      </c>
      <c r="E156" s="113" t="s">
        <v>192</v>
      </c>
      <c r="F156" s="113" t="s">
        <v>486</v>
      </c>
      <c r="G156" s="113" t="s">
        <v>193</v>
      </c>
      <c r="H156" s="113" t="s">
        <v>194</v>
      </c>
      <c r="I156" s="114" t="s">
        <v>488</v>
      </c>
      <c r="J156" s="113"/>
    </row>
    <row r="157" spans="1:10" ht="72" x14ac:dyDescent="0.3">
      <c r="A157" s="112" t="s">
        <v>189</v>
      </c>
      <c r="B157" s="113" t="s">
        <v>190</v>
      </c>
      <c r="C157" s="113" t="s">
        <v>476</v>
      </c>
      <c r="D157" s="113" t="s">
        <v>132</v>
      </c>
      <c r="E157" s="113" t="s">
        <v>192</v>
      </c>
      <c r="F157" s="113" t="s">
        <v>213</v>
      </c>
      <c r="G157" s="113" t="s">
        <v>193</v>
      </c>
      <c r="H157" s="113" t="s">
        <v>194</v>
      </c>
      <c r="I157" s="114" t="s">
        <v>489</v>
      </c>
      <c r="J157" s="113"/>
    </row>
    <row r="158" spans="1:10" x14ac:dyDescent="0.3">
      <c r="A158" s="112" t="s">
        <v>189</v>
      </c>
      <c r="B158" s="113" t="s">
        <v>190</v>
      </c>
      <c r="C158" s="113" t="s">
        <v>490</v>
      </c>
      <c r="D158" s="113" t="s">
        <v>200</v>
      </c>
      <c r="E158" s="113" t="s">
        <v>192</v>
      </c>
      <c r="F158" s="113" t="s">
        <v>491</v>
      </c>
      <c r="G158" s="113" t="s">
        <v>193</v>
      </c>
      <c r="H158" s="113" t="s">
        <v>201</v>
      </c>
      <c r="I158" s="114" t="s">
        <v>190</v>
      </c>
      <c r="J158" s="113"/>
    </row>
    <row r="159" spans="1:10" ht="72" x14ac:dyDescent="0.3">
      <c r="A159" s="112" t="s">
        <v>189</v>
      </c>
      <c r="B159" s="113" t="s">
        <v>190</v>
      </c>
      <c r="C159" s="113" t="s">
        <v>490</v>
      </c>
      <c r="D159" s="113" t="s">
        <v>209</v>
      </c>
      <c r="E159" s="113" t="s">
        <v>192</v>
      </c>
      <c r="F159" s="113" t="s">
        <v>492</v>
      </c>
      <c r="G159" s="113" t="s">
        <v>193</v>
      </c>
      <c r="H159" s="113" t="s">
        <v>201</v>
      </c>
      <c r="I159" s="114" t="s">
        <v>493</v>
      </c>
      <c r="J159" s="113"/>
    </row>
    <row r="160" spans="1:10" x14ac:dyDescent="0.3">
      <c r="A160" s="112" t="s">
        <v>189</v>
      </c>
      <c r="B160" s="113" t="s">
        <v>190</v>
      </c>
      <c r="C160" s="113" t="s">
        <v>494</v>
      </c>
      <c r="D160" s="113" t="s">
        <v>200</v>
      </c>
      <c r="E160" s="113" t="s">
        <v>192</v>
      </c>
      <c r="F160" s="113" t="s">
        <v>495</v>
      </c>
      <c r="G160" s="113" t="s">
        <v>193</v>
      </c>
      <c r="H160" s="113" t="s">
        <v>201</v>
      </c>
      <c r="I160" s="114" t="s">
        <v>190</v>
      </c>
      <c r="J160" s="113"/>
    </row>
    <row r="161" spans="1:10" ht="43.2" x14ac:dyDescent="0.3">
      <c r="A161" s="112" t="s">
        <v>69</v>
      </c>
      <c r="B161" s="113" t="s">
        <v>229</v>
      </c>
      <c r="C161" s="113" t="s">
        <v>494</v>
      </c>
      <c r="D161" s="113" t="s">
        <v>56</v>
      </c>
      <c r="E161" s="113" t="s">
        <v>192</v>
      </c>
      <c r="F161" s="113" t="s">
        <v>496</v>
      </c>
      <c r="G161" s="113" t="s">
        <v>193</v>
      </c>
      <c r="H161" s="113" t="s">
        <v>204</v>
      </c>
      <c r="I161" s="114" t="s">
        <v>497</v>
      </c>
      <c r="J161" s="113"/>
    </row>
    <row r="162" spans="1:10" x14ac:dyDescent="0.3">
      <c r="A162" s="112" t="s">
        <v>189</v>
      </c>
      <c r="B162" s="113" t="s">
        <v>190</v>
      </c>
      <c r="C162" s="113" t="s">
        <v>494</v>
      </c>
      <c r="D162" s="113" t="s">
        <v>200</v>
      </c>
      <c r="E162" s="113" t="s">
        <v>192</v>
      </c>
      <c r="F162" s="113" t="s">
        <v>437</v>
      </c>
      <c r="G162" s="113" t="s">
        <v>193</v>
      </c>
      <c r="H162" s="113" t="s">
        <v>194</v>
      </c>
      <c r="I162" s="114" t="s">
        <v>190</v>
      </c>
      <c r="J162" s="113"/>
    </row>
    <row r="163" spans="1:10" ht="72" x14ac:dyDescent="0.3">
      <c r="A163" s="112" t="s">
        <v>264</v>
      </c>
      <c r="B163" s="113" t="s">
        <v>264</v>
      </c>
      <c r="C163" s="113" t="s">
        <v>494</v>
      </c>
      <c r="D163" s="113" t="s">
        <v>80</v>
      </c>
      <c r="E163" s="113" t="s">
        <v>192</v>
      </c>
      <c r="F163" s="113" t="s">
        <v>498</v>
      </c>
      <c r="G163" s="113" t="s">
        <v>193</v>
      </c>
      <c r="H163" s="113" t="s">
        <v>204</v>
      </c>
      <c r="I163" s="114" t="s">
        <v>499</v>
      </c>
      <c r="J163" s="113"/>
    </row>
    <row r="164" spans="1:10" ht="86.4" x14ac:dyDescent="0.3">
      <c r="A164" s="112" t="s">
        <v>189</v>
      </c>
      <c r="B164" s="113" t="s">
        <v>190</v>
      </c>
      <c r="C164" s="113" t="s">
        <v>500</v>
      </c>
      <c r="D164" s="113" t="s">
        <v>501</v>
      </c>
      <c r="E164" s="113" t="s">
        <v>192</v>
      </c>
      <c r="F164" s="113" t="s">
        <v>502</v>
      </c>
      <c r="G164" s="113" t="s">
        <v>193</v>
      </c>
      <c r="H164" s="113" t="s">
        <v>194</v>
      </c>
      <c r="I164" s="114" t="s">
        <v>503</v>
      </c>
      <c r="J164" s="113"/>
    </row>
    <row r="165" spans="1:10" ht="244.8" x14ac:dyDescent="0.3">
      <c r="A165" s="112" t="s">
        <v>189</v>
      </c>
      <c r="B165" s="113" t="s">
        <v>190</v>
      </c>
      <c r="C165" s="113" t="s">
        <v>500</v>
      </c>
      <c r="D165" s="113" t="s">
        <v>56</v>
      </c>
      <c r="E165" s="113" t="s">
        <v>192</v>
      </c>
      <c r="F165" s="113" t="s">
        <v>504</v>
      </c>
      <c r="G165" s="113" t="s">
        <v>193</v>
      </c>
      <c r="H165" s="113" t="s">
        <v>194</v>
      </c>
      <c r="I165" s="114" t="s">
        <v>505</v>
      </c>
      <c r="J165" s="113"/>
    </row>
    <row r="166" spans="1:10" ht="201.6" x14ac:dyDescent="0.3">
      <c r="A166" s="112" t="s">
        <v>189</v>
      </c>
      <c r="B166" s="113" t="s">
        <v>190</v>
      </c>
      <c r="C166" s="113" t="s">
        <v>500</v>
      </c>
      <c r="D166" s="113" t="s">
        <v>160</v>
      </c>
      <c r="E166" s="113" t="s">
        <v>192</v>
      </c>
      <c r="F166" s="113" t="s">
        <v>504</v>
      </c>
      <c r="G166" s="113" t="s">
        <v>193</v>
      </c>
      <c r="H166" s="113" t="s">
        <v>194</v>
      </c>
      <c r="I166" s="114" t="s">
        <v>506</v>
      </c>
      <c r="J166" s="113"/>
    </row>
    <row r="167" spans="1:10" x14ac:dyDescent="0.3">
      <c r="A167" s="112" t="s">
        <v>189</v>
      </c>
      <c r="B167" s="113" t="s">
        <v>190</v>
      </c>
      <c r="C167" s="113" t="s">
        <v>500</v>
      </c>
      <c r="D167" s="113" t="s">
        <v>200</v>
      </c>
      <c r="E167" s="113" t="s">
        <v>192</v>
      </c>
      <c r="F167" s="113" t="s">
        <v>504</v>
      </c>
      <c r="G167" s="113" t="s">
        <v>193</v>
      </c>
      <c r="H167" s="113" t="s">
        <v>194</v>
      </c>
      <c r="I167" s="114" t="s">
        <v>190</v>
      </c>
      <c r="J167" s="113"/>
    </row>
    <row r="168" spans="1:10" x14ac:dyDescent="0.3">
      <c r="A168" s="112" t="s">
        <v>189</v>
      </c>
      <c r="B168" s="113" t="s">
        <v>190</v>
      </c>
      <c r="C168" s="113" t="s">
        <v>507</v>
      </c>
      <c r="D168" s="113" t="s">
        <v>200</v>
      </c>
      <c r="E168" s="113" t="s">
        <v>192</v>
      </c>
      <c r="F168" s="113" t="s">
        <v>508</v>
      </c>
      <c r="G168" s="113" t="s">
        <v>193</v>
      </c>
      <c r="H168" s="113" t="s">
        <v>201</v>
      </c>
      <c r="I168" s="114" t="s">
        <v>190</v>
      </c>
      <c r="J168" s="113"/>
    </row>
    <row r="169" spans="1:10" x14ac:dyDescent="0.3">
      <c r="A169" s="112" t="s">
        <v>189</v>
      </c>
      <c r="B169" s="113" t="s">
        <v>190</v>
      </c>
      <c r="C169" s="113" t="s">
        <v>507</v>
      </c>
      <c r="D169" s="113" t="s">
        <v>120</v>
      </c>
      <c r="E169" s="113" t="s">
        <v>192</v>
      </c>
      <c r="F169" s="113" t="s">
        <v>509</v>
      </c>
      <c r="G169" s="113" t="s">
        <v>193</v>
      </c>
      <c r="H169" s="113" t="s">
        <v>201</v>
      </c>
      <c r="I169" s="114" t="s">
        <v>190</v>
      </c>
      <c r="J169" s="113"/>
    </row>
    <row r="170" spans="1:10" x14ac:dyDescent="0.3">
      <c r="A170" s="112" t="s">
        <v>189</v>
      </c>
      <c r="B170" s="113" t="s">
        <v>190</v>
      </c>
      <c r="C170" s="113" t="s">
        <v>507</v>
      </c>
      <c r="D170" s="113" t="s">
        <v>200</v>
      </c>
      <c r="E170" s="113" t="s">
        <v>192</v>
      </c>
      <c r="F170" s="113" t="s">
        <v>510</v>
      </c>
      <c r="G170" s="113" t="s">
        <v>193</v>
      </c>
      <c r="H170" s="113" t="s">
        <v>201</v>
      </c>
      <c r="I170" s="114" t="s">
        <v>190</v>
      </c>
      <c r="J170" s="113"/>
    </row>
    <row r="171" spans="1:10" x14ac:dyDescent="0.3">
      <c r="A171" s="112" t="s">
        <v>189</v>
      </c>
      <c r="B171" s="113" t="s">
        <v>190</v>
      </c>
      <c r="C171" s="113" t="s">
        <v>507</v>
      </c>
      <c r="D171" s="113" t="s">
        <v>56</v>
      </c>
      <c r="E171" s="113" t="s">
        <v>192</v>
      </c>
      <c r="F171" s="113" t="s">
        <v>511</v>
      </c>
      <c r="G171" s="113" t="s">
        <v>193</v>
      </c>
      <c r="H171" s="113" t="s">
        <v>201</v>
      </c>
      <c r="I171" s="114" t="s">
        <v>190</v>
      </c>
      <c r="J171" s="113"/>
    </row>
    <row r="172" spans="1:10" x14ac:dyDescent="0.3">
      <c r="A172" s="112" t="s">
        <v>189</v>
      </c>
      <c r="B172" s="113" t="s">
        <v>190</v>
      </c>
      <c r="C172" s="113" t="s">
        <v>507</v>
      </c>
      <c r="D172" s="113" t="s">
        <v>200</v>
      </c>
      <c r="E172" s="113" t="s">
        <v>192</v>
      </c>
      <c r="F172" s="113" t="s">
        <v>512</v>
      </c>
      <c r="G172" s="113" t="s">
        <v>193</v>
      </c>
      <c r="H172" s="113" t="s">
        <v>201</v>
      </c>
      <c r="I172" s="114" t="s">
        <v>190</v>
      </c>
      <c r="J172" s="113"/>
    </row>
    <row r="173" spans="1:10" x14ac:dyDescent="0.3">
      <c r="A173" s="112" t="s">
        <v>189</v>
      </c>
      <c r="B173" s="113" t="s">
        <v>190</v>
      </c>
      <c r="C173" s="113" t="s">
        <v>513</v>
      </c>
      <c r="D173" s="113" t="s">
        <v>111</v>
      </c>
      <c r="E173" s="113" t="s">
        <v>192</v>
      </c>
      <c r="F173" s="113" t="s">
        <v>514</v>
      </c>
      <c r="G173" s="113" t="s">
        <v>193</v>
      </c>
      <c r="H173" s="113" t="s">
        <v>201</v>
      </c>
      <c r="I173" s="114" t="s">
        <v>190</v>
      </c>
      <c r="J173" s="113"/>
    </row>
    <row r="174" spans="1:10" x14ac:dyDescent="0.3">
      <c r="A174" s="112" t="s">
        <v>189</v>
      </c>
      <c r="B174" s="113" t="s">
        <v>190</v>
      </c>
      <c r="C174" s="113" t="s">
        <v>513</v>
      </c>
      <c r="D174" s="113" t="s">
        <v>200</v>
      </c>
      <c r="E174" s="113" t="s">
        <v>192</v>
      </c>
      <c r="F174" s="113" t="s">
        <v>515</v>
      </c>
      <c r="G174" s="113" t="s">
        <v>193</v>
      </c>
      <c r="H174" s="113" t="s">
        <v>194</v>
      </c>
      <c r="I174" s="114" t="s">
        <v>190</v>
      </c>
      <c r="J174" s="113"/>
    </row>
    <row r="175" spans="1:10" x14ac:dyDescent="0.3">
      <c r="A175" s="112" t="s">
        <v>189</v>
      </c>
      <c r="B175" s="113" t="s">
        <v>190</v>
      </c>
      <c r="C175" s="113" t="s">
        <v>513</v>
      </c>
      <c r="D175" s="113" t="s">
        <v>200</v>
      </c>
      <c r="E175" s="113" t="s">
        <v>192</v>
      </c>
      <c r="F175" s="113" t="s">
        <v>516</v>
      </c>
      <c r="G175" s="113" t="s">
        <v>193</v>
      </c>
      <c r="H175" s="113" t="s">
        <v>194</v>
      </c>
      <c r="I175" s="114" t="s">
        <v>190</v>
      </c>
      <c r="J175" s="113"/>
    </row>
    <row r="176" spans="1:10" x14ac:dyDescent="0.3">
      <c r="A176" s="112" t="s">
        <v>189</v>
      </c>
      <c r="B176" s="113" t="s">
        <v>190</v>
      </c>
      <c r="C176" s="113" t="s">
        <v>517</v>
      </c>
      <c r="D176" s="113" t="s">
        <v>200</v>
      </c>
      <c r="E176" s="113" t="s">
        <v>192</v>
      </c>
      <c r="F176" s="113" t="s">
        <v>518</v>
      </c>
      <c r="G176" s="113" t="s">
        <v>193</v>
      </c>
      <c r="H176" s="113" t="s">
        <v>201</v>
      </c>
      <c r="I176" s="114" t="s">
        <v>190</v>
      </c>
      <c r="J176" s="113"/>
    </row>
    <row r="177" spans="1:10" x14ac:dyDescent="0.3">
      <c r="A177" s="112" t="s">
        <v>189</v>
      </c>
      <c r="B177" s="113" t="s">
        <v>190</v>
      </c>
      <c r="C177" s="113" t="s">
        <v>517</v>
      </c>
      <c r="D177" s="113" t="s">
        <v>200</v>
      </c>
      <c r="E177" s="113" t="s">
        <v>192</v>
      </c>
      <c r="F177" s="113" t="s">
        <v>519</v>
      </c>
      <c r="G177" s="113" t="s">
        <v>193</v>
      </c>
      <c r="H177" s="113" t="s">
        <v>194</v>
      </c>
      <c r="I177" s="114" t="s">
        <v>190</v>
      </c>
      <c r="J177" s="113"/>
    </row>
    <row r="178" spans="1:10" ht="43.2" x14ac:dyDescent="0.3">
      <c r="A178" s="112" t="s">
        <v>189</v>
      </c>
      <c r="B178" s="113" t="s">
        <v>190</v>
      </c>
      <c r="C178" s="113" t="s">
        <v>517</v>
      </c>
      <c r="D178" s="113" t="s">
        <v>200</v>
      </c>
      <c r="E178" s="113" t="s">
        <v>192</v>
      </c>
      <c r="F178" s="113" t="s">
        <v>520</v>
      </c>
      <c r="G178" s="113" t="s">
        <v>193</v>
      </c>
      <c r="H178" s="113" t="s">
        <v>204</v>
      </c>
      <c r="I178" s="114" t="s">
        <v>521</v>
      </c>
      <c r="J178" s="113"/>
    </row>
    <row r="179" spans="1:10" ht="43.2" x14ac:dyDescent="0.3">
      <c r="A179" s="112" t="s">
        <v>189</v>
      </c>
      <c r="B179" s="113" t="s">
        <v>190</v>
      </c>
      <c r="C179" s="113" t="s">
        <v>517</v>
      </c>
      <c r="D179" s="113" t="s">
        <v>200</v>
      </c>
      <c r="E179" s="113" t="s">
        <v>192</v>
      </c>
      <c r="F179" s="113" t="s">
        <v>522</v>
      </c>
      <c r="G179" s="113" t="s">
        <v>193</v>
      </c>
      <c r="H179" s="113" t="s">
        <v>204</v>
      </c>
      <c r="I179" s="114" t="s">
        <v>523</v>
      </c>
      <c r="J179" s="113"/>
    </row>
    <row r="180" spans="1:10" x14ac:dyDescent="0.3">
      <c r="A180" s="112" t="s">
        <v>189</v>
      </c>
      <c r="B180" s="113" t="s">
        <v>190</v>
      </c>
      <c r="C180" s="113" t="s">
        <v>524</v>
      </c>
      <c r="D180" s="113" t="s">
        <v>56</v>
      </c>
      <c r="E180" s="113" t="s">
        <v>192</v>
      </c>
      <c r="F180" s="113" t="s">
        <v>525</v>
      </c>
      <c r="G180" s="113" t="s">
        <v>193</v>
      </c>
      <c r="H180" s="113" t="s">
        <v>194</v>
      </c>
      <c r="I180" s="114" t="s">
        <v>190</v>
      </c>
      <c r="J180" s="113"/>
    </row>
    <row r="181" spans="1:10" x14ac:dyDescent="0.3">
      <c r="A181" s="112" t="s">
        <v>189</v>
      </c>
      <c r="B181" s="113" t="s">
        <v>190</v>
      </c>
      <c r="C181" s="113" t="s">
        <v>526</v>
      </c>
      <c r="D181" s="113" t="s">
        <v>200</v>
      </c>
      <c r="E181" s="113" t="s">
        <v>192</v>
      </c>
      <c r="F181" s="113" t="s">
        <v>527</v>
      </c>
      <c r="G181" s="113" t="s">
        <v>193</v>
      </c>
      <c r="H181" s="113" t="s">
        <v>201</v>
      </c>
      <c r="I181" s="114" t="s">
        <v>190</v>
      </c>
      <c r="J181" s="113"/>
    </row>
    <row r="182" spans="1:10" ht="43.2" x14ac:dyDescent="0.3">
      <c r="A182" s="112" t="s">
        <v>189</v>
      </c>
      <c r="B182" s="113" t="s">
        <v>190</v>
      </c>
      <c r="C182" s="113" t="s">
        <v>526</v>
      </c>
      <c r="D182" s="113" t="s">
        <v>200</v>
      </c>
      <c r="E182" s="113" t="s">
        <v>192</v>
      </c>
      <c r="F182" s="113" t="s">
        <v>528</v>
      </c>
      <c r="G182" s="113" t="s">
        <v>193</v>
      </c>
      <c r="H182" s="113" t="s">
        <v>204</v>
      </c>
      <c r="I182" s="114" t="s">
        <v>529</v>
      </c>
      <c r="J182" s="113"/>
    </row>
    <row r="183" spans="1:10" ht="86.4" x14ac:dyDescent="0.3">
      <c r="A183" s="112" t="s">
        <v>189</v>
      </c>
      <c r="B183" s="113" t="s">
        <v>190</v>
      </c>
      <c r="C183" s="113" t="s">
        <v>526</v>
      </c>
      <c r="D183" s="113" t="s">
        <v>80</v>
      </c>
      <c r="E183" s="113" t="s">
        <v>192</v>
      </c>
      <c r="F183" s="113" t="s">
        <v>530</v>
      </c>
      <c r="G183" s="113" t="s">
        <v>193</v>
      </c>
      <c r="H183" s="113" t="s">
        <v>194</v>
      </c>
      <c r="I183" s="114" t="s">
        <v>531</v>
      </c>
      <c r="J183" s="113"/>
    </row>
    <row r="184" spans="1:10" ht="43.2" x14ac:dyDescent="0.3">
      <c r="A184" s="112" t="s">
        <v>189</v>
      </c>
      <c r="B184" s="113" t="s">
        <v>190</v>
      </c>
      <c r="C184" s="113" t="s">
        <v>526</v>
      </c>
      <c r="D184" s="113" t="s">
        <v>200</v>
      </c>
      <c r="E184" s="113" t="s">
        <v>192</v>
      </c>
      <c r="F184" s="113" t="s">
        <v>532</v>
      </c>
      <c r="G184" s="113" t="s">
        <v>193</v>
      </c>
      <c r="H184" s="113" t="s">
        <v>204</v>
      </c>
      <c r="I184" s="114" t="s">
        <v>533</v>
      </c>
      <c r="J184" s="113"/>
    </row>
    <row r="185" spans="1:10" x14ac:dyDescent="0.3">
      <c r="A185" s="112" t="s">
        <v>189</v>
      </c>
      <c r="B185" s="113" t="s">
        <v>190</v>
      </c>
      <c r="C185" s="113" t="s">
        <v>534</v>
      </c>
      <c r="D185" s="113" t="s">
        <v>200</v>
      </c>
      <c r="E185" s="113" t="s">
        <v>192</v>
      </c>
      <c r="F185" s="113" t="s">
        <v>535</v>
      </c>
      <c r="G185" s="113" t="s">
        <v>193</v>
      </c>
      <c r="H185" s="113" t="s">
        <v>201</v>
      </c>
      <c r="I185" s="114" t="s">
        <v>190</v>
      </c>
      <c r="J185" s="113"/>
    </row>
    <row r="186" spans="1:10" ht="86.4" x14ac:dyDescent="0.3">
      <c r="A186" s="112" t="s">
        <v>189</v>
      </c>
      <c r="B186" s="113" t="s">
        <v>190</v>
      </c>
      <c r="C186" s="113" t="s">
        <v>534</v>
      </c>
      <c r="D186" s="113" t="s">
        <v>137</v>
      </c>
      <c r="E186" s="113" t="s">
        <v>192</v>
      </c>
      <c r="F186" s="113" t="s">
        <v>536</v>
      </c>
      <c r="G186" s="113" t="s">
        <v>248</v>
      </c>
      <c r="H186" s="113" t="s">
        <v>194</v>
      </c>
      <c r="I186" s="114" t="s">
        <v>537</v>
      </c>
      <c r="J186" s="113"/>
    </row>
    <row r="187" spans="1:10" x14ac:dyDescent="0.3">
      <c r="A187" s="112" t="s">
        <v>189</v>
      </c>
      <c r="B187" s="113" t="s">
        <v>190</v>
      </c>
      <c r="C187" s="113" t="s">
        <v>534</v>
      </c>
      <c r="D187" s="113" t="s">
        <v>200</v>
      </c>
      <c r="E187" s="113" t="s">
        <v>192</v>
      </c>
      <c r="F187" s="113" t="s">
        <v>538</v>
      </c>
      <c r="G187" s="113" t="s">
        <v>193</v>
      </c>
      <c r="H187" s="113" t="s">
        <v>201</v>
      </c>
      <c r="I187" s="114" t="s">
        <v>190</v>
      </c>
      <c r="J187" s="113"/>
    </row>
    <row r="188" spans="1:10" ht="43.2" x14ac:dyDescent="0.3">
      <c r="A188" s="112" t="s">
        <v>189</v>
      </c>
      <c r="B188" s="113" t="s">
        <v>190</v>
      </c>
      <c r="C188" s="113" t="s">
        <v>534</v>
      </c>
      <c r="D188" s="113" t="s">
        <v>200</v>
      </c>
      <c r="E188" s="113" t="s">
        <v>192</v>
      </c>
      <c r="F188" s="113" t="s">
        <v>539</v>
      </c>
      <c r="G188" s="113" t="s">
        <v>193</v>
      </c>
      <c r="H188" s="113" t="s">
        <v>204</v>
      </c>
      <c r="I188" s="114" t="s">
        <v>540</v>
      </c>
      <c r="J188" s="113"/>
    </row>
    <row r="189" spans="1:10" ht="43.2" x14ac:dyDescent="0.3">
      <c r="A189" s="112" t="s">
        <v>189</v>
      </c>
      <c r="B189" s="113" t="s">
        <v>190</v>
      </c>
      <c r="C189" s="113" t="s">
        <v>534</v>
      </c>
      <c r="D189" s="113" t="s">
        <v>200</v>
      </c>
      <c r="E189" s="113" t="s">
        <v>192</v>
      </c>
      <c r="F189" s="113" t="s">
        <v>541</v>
      </c>
      <c r="G189" s="113" t="s">
        <v>193</v>
      </c>
      <c r="H189" s="113" t="s">
        <v>204</v>
      </c>
      <c r="I189" s="114" t="s">
        <v>542</v>
      </c>
      <c r="J189" s="113"/>
    </row>
    <row r="190" spans="1:10" x14ac:dyDescent="0.3">
      <c r="A190" s="112" t="s">
        <v>189</v>
      </c>
      <c r="B190" s="113" t="s">
        <v>190</v>
      </c>
      <c r="C190" s="113" t="s">
        <v>543</v>
      </c>
      <c r="D190" s="113" t="s">
        <v>200</v>
      </c>
      <c r="E190" s="113" t="s">
        <v>192</v>
      </c>
      <c r="F190" s="113" t="s">
        <v>544</v>
      </c>
      <c r="G190" s="113" t="s">
        <v>193</v>
      </c>
      <c r="H190" s="113" t="s">
        <v>194</v>
      </c>
      <c r="I190" s="114" t="s">
        <v>190</v>
      </c>
      <c r="J190" s="113"/>
    </row>
    <row r="191" spans="1:10" x14ac:dyDescent="0.3">
      <c r="A191" s="112" t="s">
        <v>189</v>
      </c>
      <c r="B191" s="113" t="s">
        <v>190</v>
      </c>
      <c r="C191" s="113" t="s">
        <v>543</v>
      </c>
      <c r="D191" s="113" t="s">
        <v>200</v>
      </c>
      <c r="E191" s="113" t="s">
        <v>192</v>
      </c>
      <c r="F191" s="113" t="s">
        <v>545</v>
      </c>
      <c r="G191" s="113" t="s">
        <v>193</v>
      </c>
      <c r="H191" s="113" t="s">
        <v>194</v>
      </c>
      <c r="I191" s="114" t="s">
        <v>190</v>
      </c>
      <c r="J191" s="113"/>
    </row>
    <row r="192" spans="1:10" ht="43.2" x14ac:dyDescent="0.3">
      <c r="A192" s="112" t="s">
        <v>189</v>
      </c>
      <c r="B192" s="113" t="s">
        <v>190</v>
      </c>
      <c r="C192" s="113" t="s">
        <v>543</v>
      </c>
      <c r="D192" s="113" t="s">
        <v>200</v>
      </c>
      <c r="E192" s="113" t="s">
        <v>192</v>
      </c>
      <c r="F192" s="113" t="s">
        <v>546</v>
      </c>
      <c r="G192" s="113" t="s">
        <v>193</v>
      </c>
      <c r="H192" s="113" t="s">
        <v>194</v>
      </c>
      <c r="I192" s="114" t="s">
        <v>547</v>
      </c>
      <c r="J192" s="113"/>
    </row>
    <row r="193" spans="1:10" x14ac:dyDescent="0.3">
      <c r="A193" s="112" t="s">
        <v>189</v>
      </c>
      <c r="B193" s="113" t="s">
        <v>190</v>
      </c>
      <c r="C193" s="113" t="s">
        <v>548</v>
      </c>
      <c r="D193" s="113" t="s">
        <v>200</v>
      </c>
      <c r="E193" s="113" t="s">
        <v>192</v>
      </c>
      <c r="F193" s="113" t="s">
        <v>549</v>
      </c>
      <c r="G193" s="113" t="s">
        <v>193</v>
      </c>
      <c r="H193" s="113" t="s">
        <v>201</v>
      </c>
      <c r="I193" s="114" t="s">
        <v>190</v>
      </c>
      <c r="J193" s="113"/>
    </row>
    <row r="194" spans="1:10" ht="43.2" x14ac:dyDescent="0.3">
      <c r="A194" s="112" t="s">
        <v>189</v>
      </c>
      <c r="B194" s="113" t="s">
        <v>190</v>
      </c>
      <c r="C194" s="113" t="s">
        <v>548</v>
      </c>
      <c r="D194" s="113" t="s">
        <v>200</v>
      </c>
      <c r="E194" s="113" t="s">
        <v>192</v>
      </c>
      <c r="F194" s="113" t="s">
        <v>550</v>
      </c>
      <c r="G194" s="113" t="s">
        <v>193</v>
      </c>
      <c r="H194" s="113" t="s">
        <v>204</v>
      </c>
      <c r="I194" s="114" t="s">
        <v>551</v>
      </c>
      <c r="J194" s="113"/>
    </row>
    <row r="195" spans="1:10" x14ac:dyDescent="0.3">
      <c r="A195" s="112" t="s">
        <v>189</v>
      </c>
      <c r="B195" s="113" t="s">
        <v>190</v>
      </c>
      <c r="C195" s="113" t="s">
        <v>548</v>
      </c>
      <c r="D195" s="113" t="s">
        <v>200</v>
      </c>
      <c r="E195" s="113" t="s">
        <v>192</v>
      </c>
      <c r="F195" s="113" t="s">
        <v>402</v>
      </c>
      <c r="G195" s="113" t="s">
        <v>193</v>
      </c>
      <c r="H195" s="113" t="s">
        <v>194</v>
      </c>
      <c r="I195" s="114" t="s">
        <v>190</v>
      </c>
      <c r="J195" s="113"/>
    </row>
    <row r="196" spans="1:10" x14ac:dyDescent="0.3">
      <c r="A196" s="112" t="s">
        <v>189</v>
      </c>
      <c r="B196" s="113" t="s">
        <v>190</v>
      </c>
      <c r="C196" s="113" t="s">
        <v>548</v>
      </c>
      <c r="D196" s="113" t="s">
        <v>200</v>
      </c>
      <c r="E196" s="113" t="s">
        <v>192</v>
      </c>
      <c r="F196" s="113" t="s">
        <v>544</v>
      </c>
      <c r="G196" s="113" t="s">
        <v>193</v>
      </c>
      <c r="H196" s="113" t="s">
        <v>194</v>
      </c>
      <c r="I196" s="114" t="s">
        <v>190</v>
      </c>
      <c r="J196" s="113"/>
    </row>
    <row r="197" spans="1:10" ht="28.8" x14ac:dyDescent="0.3">
      <c r="A197" s="112" t="s">
        <v>189</v>
      </c>
      <c r="B197" s="113" t="s">
        <v>190</v>
      </c>
      <c r="C197" s="113" t="s">
        <v>548</v>
      </c>
      <c r="D197" s="113" t="s">
        <v>200</v>
      </c>
      <c r="E197" s="113" t="s">
        <v>192</v>
      </c>
      <c r="F197" s="113" t="s">
        <v>552</v>
      </c>
      <c r="G197" s="113" t="s">
        <v>193</v>
      </c>
      <c r="H197" s="113" t="s">
        <v>194</v>
      </c>
      <c r="I197" s="114" t="s">
        <v>553</v>
      </c>
      <c r="J197" s="113"/>
    </row>
    <row r="198" spans="1:10" x14ac:dyDescent="0.3">
      <c r="A198" s="112" t="s">
        <v>189</v>
      </c>
      <c r="B198" s="113" t="s">
        <v>190</v>
      </c>
      <c r="C198" s="113" t="s">
        <v>548</v>
      </c>
      <c r="D198" s="113" t="s">
        <v>120</v>
      </c>
      <c r="E198" s="113" t="s">
        <v>192</v>
      </c>
      <c r="F198" s="113" t="s">
        <v>554</v>
      </c>
      <c r="G198" s="113" t="s">
        <v>193</v>
      </c>
      <c r="H198" s="113" t="s">
        <v>201</v>
      </c>
      <c r="I198" s="114" t="s">
        <v>190</v>
      </c>
      <c r="J198" s="113"/>
    </row>
    <row r="199" spans="1:10" x14ac:dyDescent="0.3">
      <c r="A199" s="112" t="s">
        <v>189</v>
      </c>
      <c r="B199" s="113" t="s">
        <v>190</v>
      </c>
      <c r="C199" s="113" t="s">
        <v>548</v>
      </c>
      <c r="D199" s="113" t="s">
        <v>200</v>
      </c>
      <c r="E199" s="113" t="s">
        <v>192</v>
      </c>
      <c r="F199" s="113" t="s">
        <v>555</v>
      </c>
      <c r="G199" s="113" t="s">
        <v>248</v>
      </c>
      <c r="H199" s="113" t="s">
        <v>194</v>
      </c>
      <c r="I199" s="114" t="s">
        <v>190</v>
      </c>
      <c r="J199" s="113"/>
    </row>
    <row r="200" spans="1:10" x14ac:dyDescent="0.3">
      <c r="A200" s="112" t="s">
        <v>189</v>
      </c>
      <c r="B200" s="113" t="s">
        <v>190</v>
      </c>
      <c r="C200" s="113" t="s">
        <v>548</v>
      </c>
      <c r="D200" s="113" t="s">
        <v>200</v>
      </c>
      <c r="E200" s="113" t="s">
        <v>192</v>
      </c>
      <c r="F200" s="113" t="s">
        <v>554</v>
      </c>
      <c r="G200" s="113" t="s">
        <v>193</v>
      </c>
      <c r="H200" s="113" t="s">
        <v>201</v>
      </c>
      <c r="I200" s="114" t="s">
        <v>190</v>
      </c>
      <c r="J200" s="113"/>
    </row>
    <row r="201" spans="1:10" x14ac:dyDescent="0.3">
      <c r="A201" s="112" t="s">
        <v>189</v>
      </c>
      <c r="B201" s="113" t="s">
        <v>190</v>
      </c>
      <c r="C201" s="113" t="s">
        <v>548</v>
      </c>
      <c r="D201" s="113" t="s">
        <v>241</v>
      </c>
      <c r="E201" s="113" t="s">
        <v>192</v>
      </c>
      <c r="F201" s="113" t="s">
        <v>554</v>
      </c>
      <c r="G201" s="113" t="s">
        <v>193</v>
      </c>
      <c r="H201" s="113" t="s">
        <v>201</v>
      </c>
      <c r="I201" s="114" t="s">
        <v>190</v>
      </c>
      <c r="J201" s="113"/>
    </row>
    <row r="202" spans="1:10" x14ac:dyDescent="0.3">
      <c r="A202" s="112" t="s">
        <v>189</v>
      </c>
      <c r="B202" s="113" t="s">
        <v>190</v>
      </c>
      <c r="C202" s="113" t="s">
        <v>548</v>
      </c>
      <c r="D202" s="113" t="s">
        <v>200</v>
      </c>
      <c r="E202" s="113" t="s">
        <v>192</v>
      </c>
      <c r="F202" s="113" t="s">
        <v>556</v>
      </c>
      <c r="G202" s="113" t="s">
        <v>193</v>
      </c>
      <c r="H202" s="113" t="s">
        <v>194</v>
      </c>
      <c r="I202" s="114" t="s">
        <v>190</v>
      </c>
      <c r="J202" s="113"/>
    </row>
    <row r="203" spans="1:10" x14ac:dyDescent="0.3">
      <c r="A203" s="112" t="s">
        <v>189</v>
      </c>
      <c r="B203" s="113" t="s">
        <v>190</v>
      </c>
      <c r="C203" s="113" t="s">
        <v>548</v>
      </c>
      <c r="D203" s="113" t="s">
        <v>200</v>
      </c>
      <c r="E203" s="113" t="s">
        <v>192</v>
      </c>
      <c r="F203" s="113" t="s">
        <v>408</v>
      </c>
      <c r="G203" s="113" t="s">
        <v>193</v>
      </c>
      <c r="H203" s="113" t="s">
        <v>194</v>
      </c>
      <c r="I203" s="114" t="s">
        <v>190</v>
      </c>
      <c r="J203" s="113"/>
    </row>
    <row r="204" spans="1:10" x14ac:dyDescent="0.3">
      <c r="A204" s="112" t="s">
        <v>189</v>
      </c>
      <c r="B204" s="113" t="s">
        <v>190</v>
      </c>
      <c r="C204" s="113" t="s">
        <v>548</v>
      </c>
      <c r="D204" s="113" t="s">
        <v>200</v>
      </c>
      <c r="E204" s="113" t="s">
        <v>192</v>
      </c>
      <c r="F204" s="113" t="s">
        <v>402</v>
      </c>
      <c r="G204" s="113" t="s">
        <v>193</v>
      </c>
      <c r="H204" s="113" t="s">
        <v>194</v>
      </c>
      <c r="I204" s="114" t="s">
        <v>190</v>
      </c>
      <c r="J204" s="113"/>
    </row>
    <row r="205" spans="1:10" x14ac:dyDescent="0.3">
      <c r="A205" s="112" t="s">
        <v>189</v>
      </c>
      <c r="B205" s="113" t="s">
        <v>190</v>
      </c>
      <c r="C205" s="113" t="s">
        <v>548</v>
      </c>
      <c r="D205" s="113" t="s">
        <v>200</v>
      </c>
      <c r="E205" s="113" t="s">
        <v>192</v>
      </c>
      <c r="F205" s="113" t="s">
        <v>557</v>
      </c>
      <c r="G205" s="113" t="s">
        <v>193</v>
      </c>
      <c r="H205" s="113" t="s">
        <v>194</v>
      </c>
      <c r="I205" s="114" t="s">
        <v>190</v>
      </c>
      <c r="J205" s="113"/>
    </row>
    <row r="206" spans="1:10" x14ac:dyDescent="0.3">
      <c r="A206" s="112" t="s">
        <v>189</v>
      </c>
      <c r="B206" s="113" t="s">
        <v>190</v>
      </c>
      <c r="C206" s="113" t="s">
        <v>548</v>
      </c>
      <c r="D206" s="113" t="s">
        <v>200</v>
      </c>
      <c r="E206" s="113" t="s">
        <v>192</v>
      </c>
      <c r="F206" s="113" t="s">
        <v>558</v>
      </c>
      <c r="G206" s="113" t="s">
        <v>193</v>
      </c>
      <c r="H206" s="113" t="s">
        <v>194</v>
      </c>
      <c r="I206" s="114" t="s">
        <v>190</v>
      </c>
      <c r="J206" s="113"/>
    </row>
    <row r="207" spans="1:10" x14ac:dyDescent="0.3">
      <c r="A207" s="112" t="s">
        <v>189</v>
      </c>
      <c r="B207" s="113" t="s">
        <v>190</v>
      </c>
      <c r="C207" s="113" t="s">
        <v>548</v>
      </c>
      <c r="D207" s="113" t="s">
        <v>200</v>
      </c>
      <c r="E207" s="113" t="s">
        <v>192</v>
      </c>
      <c r="F207" s="113" t="s">
        <v>559</v>
      </c>
      <c r="G207" s="113" t="s">
        <v>193</v>
      </c>
      <c r="H207" s="113" t="s">
        <v>194</v>
      </c>
      <c r="I207" s="114" t="s">
        <v>190</v>
      </c>
      <c r="J207" s="113"/>
    </row>
    <row r="208" spans="1:10" x14ac:dyDescent="0.3">
      <c r="A208" s="112" t="s">
        <v>189</v>
      </c>
      <c r="B208" s="113" t="s">
        <v>190</v>
      </c>
      <c r="C208" s="113" t="s">
        <v>548</v>
      </c>
      <c r="D208" s="113" t="s">
        <v>200</v>
      </c>
      <c r="E208" s="113" t="s">
        <v>192</v>
      </c>
      <c r="F208" s="113" t="s">
        <v>560</v>
      </c>
      <c r="G208" s="113" t="s">
        <v>193</v>
      </c>
      <c r="H208" s="113" t="s">
        <v>201</v>
      </c>
      <c r="I208" s="114" t="s">
        <v>190</v>
      </c>
      <c r="J208" s="113"/>
    </row>
    <row r="209" spans="1:10" x14ac:dyDescent="0.3">
      <c r="A209" s="112" t="s">
        <v>264</v>
      </c>
      <c r="B209" s="113" t="s">
        <v>264</v>
      </c>
      <c r="C209" s="113" t="s">
        <v>561</v>
      </c>
      <c r="D209" s="113" t="s">
        <v>200</v>
      </c>
      <c r="E209" s="113" t="s">
        <v>192</v>
      </c>
      <c r="F209" s="113" t="s">
        <v>562</v>
      </c>
      <c r="G209" s="113" t="s">
        <v>193</v>
      </c>
      <c r="H209" s="113" t="s">
        <v>201</v>
      </c>
      <c r="I209" s="114" t="s">
        <v>190</v>
      </c>
      <c r="J209" s="113"/>
    </row>
    <row r="210" spans="1:10" x14ac:dyDescent="0.3">
      <c r="A210" s="112" t="s">
        <v>189</v>
      </c>
      <c r="B210" s="113" t="s">
        <v>190</v>
      </c>
      <c r="C210" s="113" t="s">
        <v>561</v>
      </c>
      <c r="D210" s="113" t="s">
        <v>200</v>
      </c>
      <c r="E210" s="113" t="s">
        <v>192</v>
      </c>
      <c r="F210" s="113" t="s">
        <v>563</v>
      </c>
      <c r="G210" s="113" t="s">
        <v>193</v>
      </c>
      <c r="H210" s="113" t="s">
        <v>201</v>
      </c>
      <c r="I210" s="114" t="s">
        <v>190</v>
      </c>
      <c r="J210" s="113"/>
    </row>
    <row r="211" spans="1:10" x14ac:dyDescent="0.3">
      <c r="A211" s="112" t="s">
        <v>189</v>
      </c>
      <c r="B211" s="113" t="s">
        <v>190</v>
      </c>
      <c r="C211" s="113" t="s">
        <v>561</v>
      </c>
      <c r="D211" s="113" t="s">
        <v>200</v>
      </c>
      <c r="E211" s="113" t="s">
        <v>192</v>
      </c>
      <c r="F211" s="113" t="s">
        <v>564</v>
      </c>
      <c r="G211" s="113" t="s">
        <v>193</v>
      </c>
      <c r="H211" s="113" t="s">
        <v>201</v>
      </c>
      <c r="I211" s="114" t="s">
        <v>190</v>
      </c>
      <c r="J211" s="113"/>
    </row>
    <row r="212" spans="1:10" x14ac:dyDescent="0.3">
      <c r="A212" s="112" t="s">
        <v>189</v>
      </c>
      <c r="B212" s="113" t="s">
        <v>190</v>
      </c>
      <c r="C212" s="113" t="s">
        <v>561</v>
      </c>
      <c r="D212" s="113" t="s">
        <v>120</v>
      </c>
      <c r="E212" s="113" t="s">
        <v>192</v>
      </c>
      <c r="F212" s="113" t="s">
        <v>511</v>
      </c>
      <c r="G212" s="113" t="s">
        <v>193</v>
      </c>
      <c r="H212" s="113" t="s">
        <v>201</v>
      </c>
      <c r="I212" s="114" t="s">
        <v>190</v>
      </c>
      <c r="J212" s="113"/>
    </row>
    <row r="213" spans="1:10" x14ac:dyDescent="0.3">
      <c r="A213" s="112" t="s">
        <v>189</v>
      </c>
      <c r="B213" s="113" t="s">
        <v>190</v>
      </c>
      <c r="C213" s="113" t="s">
        <v>561</v>
      </c>
      <c r="D213" s="113" t="s">
        <v>200</v>
      </c>
      <c r="E213" s="113" t="s">
        <v>192</v>
      </c>
      <c r="F213" s="113" t="s">
        <v>565</v>
      </c>
      <c r="G213" s="113" t="s">
        <v>193</v>
      </c>
      <c r="H213" s="113" t="s">
        <v>201</v>
      </c>
      <c r="I213" s="114" t="s">
        <v>190</v>
      </c>
      <c r="J213" s="113"/>
    </row>
    <row r="214" spans="1:10" ht="28.8" x14ac:dyDescent="0.3">
      <c r="A214" s="112" t="s">
        <v>189</v>
      </c>
      <c r="B214" s="113" t="s">
        <v>190</v>
      </c>
      <c r="C214" s="113" t="s">
        <v>561</v>
      </c>
      <c r="D214" s="113" t="s">
        <v>200</v>
      </c>
      <c r="E214" s="113" t="s">
        <v>192</v>
      </c>
      <c r="F214" s="113" t="s">
        <v>566</v>
      </c>
      <c r="G214" s="113" t="s">
        <v>193</v>
      </c>
      <c r="H214" s="113" t="s">
        <v>204</v>
      </c>
      <c r="I214" s="114" t="s">
        <v>567</v>
      </c>
      <c r="J214" s="113"/>
    </row>
    <row r="215" spans="1:10" ht="43.2" x14ac:dyDescent="0.3">
      <c r="A215" s="112" t="s">
        <v>189</v>
      </c>
      <c r="B215" s="113" t="s">
        <v>190</v>
      </c>
      <c r="C215" s="113" t="s">
        <v>561</v>
      </c>
      <c r="D215" s="113" t="s">
        <v>200</v>
      </c>
      <c r="E215" s="113" t="s">
        <v>192</v>
      </c>
      <c r="F215" s="113" t="s">
        <v>568</v>
      </c>
      <c r="G215" s="113" t="s">
        <v>193</v>
      </c>
      <c r="H215" s="113" t="s">
        <v>204</v>
      </c>
      <c r="I215" s="114" t="s">
        <v>569</v>
      </c>
      <c r="J215" s="113"/>
    </row>
    <row r="216" spans="1:10" ht="43.2" x14ac:dyDescent="0.3">
      <c r="A216" s="112" t="s">
        <v>189</v>
      </c>
      <c r="B216" s="113" t="s">
        <v>190</v>
      </c>
      <c r="C216" s="113" t="s">
        <v>561</v>
      </c>
      <c r="D216" s="113" t="s">
        <v>200</v>
      </c>
      <c r="E216" s="113" t="s">
        <v>192</v>
      </c>
      <c r="F216" s="113" t="s">
        <v>570</v>
      </c>
      <c r="G216" s="113" t="s">
        <v>193</v>
      </c>
      <c r="H216" s="113" t="s">
        <v>204</v>
      </c>
      <c r="I216" s="114" t="s">
        <v>571</v>
      </c>
      <c r="J216" s="113"/>
    </row>
    <row r="217" spans="1:10" ht="28.8" x14ac:dyDescent="0.3">
      <c r="A217" s="112" t="s">
        <v>189</v>
      </c>
      <c r="B217" s="113" t="s">
        <v>190</v>
      </c>
      <c r="C217" s="113" t="s">
        <v>561</v>
      </c>
      <c r="D217" s="113" t="s">
        <v>200</v>
      </c>
      <c r="E217" s="113" t="s">
        <v>192</v>
      </c>
      <c r="F217" s="113" t="s">
        <v>572</v>
      </c>
      <c r="G217" s="113" t="s">
        <v>193</v>
      </c>
      <c r="H217" s="113" t="s">
        <v>204</v>
      </c>
      <c r="I217" s="114" t="s">
        <v>573</v>
      </c>
      <c r="J217" s="113"/>
    </row>
    <row r="218" spans="1:10" ht="28.8" x14ac:dyDescent="0.3">
      <c r="A218" s="112" t="s">
        <v>189</v>
      </c>
      <c r="B218" s="113" t="s">
        <v>190</v>
      </c>
      <c r="C218" s="113" t="s">
        <v>561</v>
      </c>
      <c r="D218" s="113" t="s">
        <v>200</v>
      </c>
      <c r="E218" s="113" t="s">
        <v>192</v>
      </c>
      <c r="F218" s="113" t="s">
        <v>574</v>
      </c>
      <c r="G218" s="113" t="s">
        <v>193</v>
      </c>
      <c r="H218" s="113" t="s">
        <v>204</v>
      </c>
      <c r="I218" s="114" t="s">
        <v>575</v>
      </c>
      <c r="J218" s="113"/>
    </row>
    <row r="219" spans="1:10" ht="28.8" x14ac:dyDescent="0.3">
      <c r="A219" s="112" t="s">
        <v>189</v>
      </c>
      <c r="B219" s="113" t="s">
        <v>190</v>
      </c>
      <c r="C219" s="113" t="s">
        <v>561</v>
      </c>
      <c r="D219" s="113" t="s">
        <v>200</v>
      </c>
      <c r="E219" s="113" t="s">
        <v>192</v>
      </c>
      <c r="F219" s="113" t="s">
        <v>576</v>
      </c>
      <c r="G219" s="113" t="s">
        <v>193</v>
      </c>
      <c r="H219" s="113" t="s">
        <v>204</v>
      </c>
      <c r="I219" s="114" t="s">
        <v>577</v>
      </c>
      <c r="J219" s="113"/>
    </row>
    <row r="220" spans="1:10" x14ac:dyDescent="0.3">
      <c r="A220" s="112" t="s">
        <v>189</v>
      </c>
      <c r="B220" s="113" t="s">
        <v>190</v>
      </c>
      <c r="C220" s="113" t="s">
        <v>561</v>
      </c>
      <c r="D220" s="113" t="s">
        <v>137</v>
      </c>
      <c r="E220" s="113" t="s">
        <v>192</v>
      </c>
      <c r="F220" s="113" t="s">
        <v>578</v>
      </c>
      <c r="G220" s="113" t="s">
        <v>193</v>
      </c>
      <c r="H220" s="113" t="s">
        <v>201</v>
      </c>
      <c r="I220" s="114" t="s">
        <v>190</v>
      </c>
      <c r="J220" s="113"/>
    </row>
    <row r="221" spans="1:10" x14ac:dyDescent="0.3">
      <c r="A221" s="112" t="s">
        <v>189</v>
      </c>
      <c r="B221" s="113" t="s">
        <v>190</v>
      </c>
      <c r="C221" s="113" t="s">
        <v>561</v>
      </c>
      <c r="D221" s="113" t="s">
        <v>200</v>
      </c>
      <c r="E221" s="113" t="s">
        <v>192</v>
      </c>
      <c r="F221" s="113" t="s">
        <v>578</v>
      </c>
      <c r="G221" s="113" t="s">
        <v>193</v>
      </c>
      <c r="H221" s="113" t="s">
        <v>201</v>
      </c>
      <c r="I221" s="114" t="s">
        <v>190</v>
      </c>
      <c r="J221" s="113"/>
    </row>
    <row r="222" spans="1:10" x14ac:dyDescent="0.3">
      <c r="A222" s="112" t="s">
        <v>189</v>
      </c>
      <c r="B222" s="113" t="s">
        <v>190</v>
      </c>
      <c r="C222" s="113" t="s">
        <v>561</v>
      </c>
      <c r="D222" s="113" t="s">
        <v>200</v>
      </c>
      <c r="E222" s="113" t="s">
        <v>192</v>
      </c>
      <c r="F222" s="113" t="s">
        <v>579</v>
      </c>
      <c r="G222" s="113" t="s">
        <v>193</v>
      </c>
      <c r="H222" s="113" t="s">
        <v>201</v>
      </c>
      <c r="I222" s="114" t="s">
        <v>190</v>
      </c>
      <c r="J222" s="113"/>
    </row>
    <row r="223" spans="1:10" x14ac:dyDescent="0.3">
      <c r="A223" s="112" t="s">
        <v>189</v>
      </c>
      <c r="B223" s="113" t="s">
        <v>190</v>
      </c>
      <c r="C223" s="113" t="s">
        <v>561</v>
      </c>
      <c r="D223" s="113" t="s">
        <v>200</v>
      </c>
      <c r="E223" s="113" t="s">
        <v>192</v>
      </c>
      <c r="F223" s="113" t="s">
        <v>580</v>
      </c>
      <c r="G223" s="113" t="s">
        <v>193</v>
      </c>
      <c r="H223" s="113" t="s">
        <v>201</v>
      </c>
      <c r="I223" s="114" t="s">
        <v>190</v>
      </c>
      <c r="J223" s="113"/>
    </row>
    <row r="224" spans="1:10" x14ac:dyDescent="0.3">
      <c r="A224" s="112" t="s">
        <v>189</v>
      </c>
      <c r="B224" s="113" t="s">
        <v>190</v>
      </c>
      <c r="C224" s="113" t="s">
        <v>561</v>
      </c>
      <c r="D224" s="113" t="s">
        <v>200</v>
      </c>
      <c r="E224" s="113" t="s">
        <v>192</v>
      </c>
      <c r="F224" s="113" t="s">
        <v>581</v>
      </c>
      <c r="G224" s="113" t="s">
        <v>193</v>
      </c>
      <c r="H224" s="113" t="s">
        <v>194</v>
      </c>
      <c r="I224" s="114" t="s">
        <v>190</v>
      </c>
      <c r="J224" s="113"/>
    </row>
    <row r="225" spans="1:10" x14ac:dyDescent="0.3">
      <c r="A225" s="112" t="s">
        <v>189</v>
      </c>
      <c r="B225" s="113" t="s">
        <v>190</v>
      </c>
      <c r="C225" s="113" t="s">
        <v>561</v>
      </c>
      <c r="D225" s="113" t="s">
        <v>200</v>
      </c>
      <c r="E225" s="113" t="s">
        <v>192</v>
      </c>
      <c r="F225" s="113" t="s">
        <v>582</v>
      </c>
      <c r="G225" s="113" t="s">
        <v>193</v>
      </c>
      <c r="H225" s="113" t="s">
        <v>194</v>
      </c>
      <c r="I225" s="114" t="s">
        <v>190</v>
      </c>
      <c r="J225" s="113"/>
    </row>
    <row r="226" spans="1:10" x14ac:dyDescent="0.3">
      <c r="A226" s="112" t="s">
        <v>189</v>
      </c>
      <c r="B226" s="113" t="s">
        <v>190</v>
      </c>
      <c r="C226" s="113" t="s">
        <v>561</v>
      </c>
      <c r="D226" s="113" t="s">
        <v>200</v>
      </c>
      <c r="E226" s="113" t="s">
        <v>192</v>
      </c>
      <c r="F226" s="113" t="s">
        <v>213</v>
      </c>
      <c r="G226" s="113" t="s">
        <v>193</v>
      </c>
      <c r="H226" s="113" t="s">
        <v>194</v>
      </c>
      <c r="I226" s="114" t="s">
        <v>190</v>
      </c>
      <c r="J226" s="113"/>
    </row>
    <row r="227" spans="1:10" ht="28.8" x14ac:dyDescent="0.3">
      <c r="A227" s="112" t="s">
        <v>189</v>
      </c>
      <c r="B227" s="113" t="s">
        <v>190</v>
      </c>
      <c r="C227" s="113" t="s">
        <v>561</v>
      </c>
      <c r="D227" s="113" t="s">
        <v>200</v>
      </c>
      <c r="E227" s="113" t="s">
        <v>192</v>
      </c>
      <c r="F227" s="113" t="s">
        <v>583</v>
      </c>
      <c r="G227" s="113" t="s">
        <v>584</v>
      </c>
      <c r="H227" s="113" t="s">
        <v>194</v>
      </c>
      <c r="I227" s="114" t="s">
        <v>202</v>
      </c>
      <c r="J227" s="113"/>
    </row>
    <row r="228" spans="1:10" x14ac:dyDescent="0.3">
      <c r="A228" s="112" t="s">
        <v>189</v>
      </c>
      <c r="B228" s="113" t="s">
        <v>190</v>
      </c>
      <c r="C228" s="113" t="s">
        <v>585</v>
      </c>
      <c r="D228" s="113" t="s">
        <v>200</v>
      </c>
      <c r="E228" s="113" t="s">
        <v>192</v>
      </c>
      <c r="F228" s="113" t="s">
        <v>562</v>
      </c>
      <c r="G228" s="113" t="s">
        <v>193</v>
      </c>
      <c r="H228" s="113" t="s">
        <v>201</v>
      </c>
      <c r="I228" s="114" t="s">
        <v>190</v>
      </c>
      <c r="J228" s="113"/>
    </row>
    <row r="229" spans="1:10" x14ac:dyDescent="0.3">
      <c r="A229" s="112" t="s">
        <v>189</v>
      </c>
      <c r="B229" s="113" t="s">
        <v>190</v>
      </c>
      <c r="C229" s="113" t="s">
        <v>585</v>
      </c>
      <c r="D229" s="113" t="s">
        <v>200</v>
      </c>
      <c r="E229" s="113" t="s">
        <v>192</v>
      </c>
      <c r="F229" s="113" t="s">
        <v>586</v>
      </c>
      <c r="G229" s="113" t="s">
        <v>193</v>
      </c>
      <c r="H229" s="113" t="s">
        <v>201</v>
      </c>
      <c r="I229" s="114" t="s">
        <v>190</v>
      </c>
      <c r="J229" s="113"/>
    </row>
    <row r="230" spans="1:10" ht="57.6" x14ac:dyDescent="0.3">
      <c r="A230" s="112" t="s">
        <v>189</v>
      </c>
      <c r="B230" s="113" t="s">
        <v>190</v>
      </c>
      <c r="C230" s="113" t="s">
        <v>585</v>
      </c>
      <c r="D230" s="113" t="s">
        <v>200</v>
      </c>
      <c r="E230" s="113" t="s">
        <v>192</v>
      </c>
      <c r="F230" s="113" t="s">
        <v>587</v>
      </c>
      <c r="G230" s="113" t="s">
        <v>193</v>
      </c>
      <c r="H230" s="113" t="s">
        <v>204</v>
      </c>
      <c r="I230" s="114" t="s">
        <v>588</v>
      </c>
      <c r="J230" s="113"/>
    </row>
    <row r="231" spans="1:10" x14ac:dyDescent="0.3">
      <c r="A231" s="112" t="s">
        <v>189</v>
      </c>
      <c r="B231" s="113" t="s">
        <v>190</v>
      </c>
      <c r="C231" s="113" t="s">
        <v>585</v>
      </c>
      <c r="D231" s="113" t="s">
        <v>200</v>
      </c>
      <c r="E231" s="113" t="s">
        <v>192</v>
      </c>
      <c r="F231" s="113" t="s">
        <v>589</v>
      </c>
      <c r="G231" s="113" t="s">
        <v>193</v>
      </c>
      <c r="H231" s="113" t="s">
        <v>201</v>
      </c>
      <c r="I231" s="114" t="s">
        <v>190</v>
      </c>
      <c r="J231" s="113"/>
    </row>
    <row r="232" spans="1:10" x14ac:dyDescent="0.3">
      <c r="A232" s="112" t="s">
        <v>189</v>
      </c>
      <c r="B232" s="113" t="s">
        <v>190</v>
      </c>
      <c r="C232" s="113" t="s">
        <v>585</v>
      </c>
      <c r="D232" s="113" t="s">
        <v>200</v>
      </c>
      <c r="E232" s="113" t="s">
        <v>192</v>
      </c>
      <c r="F232" s="113" t="s">
        <v>590</v>
      </c>
      <c r="G232" s="113" t="s">
        <v>193</v>
      </c>
      <c r="H232" s="113" t="s">
        <v>201</v>
      </c>
      <c r="I232" s="114" t="s">
        <v>190</v>
      </c>
      <c r="J232" s="113"/>
    </row>
    <row r="233" spans="1:10" x14ac:dyDescent="0.3">
      <c r="A233" s="112" t="s">
        <v>189</v>
      </c>
      <c r="B233" s="113" t="s">
        <v>190</v>
      </c>
      <c r="C233" s="113" t="s">
        <v>585</v>
      </c>
      <c r="D233" s="113" t="s">
        <v>200</v>
      </c>
      <c r="E233" s="113" t="s">
        <v>192</v>
      </c>
      <c r="F233" s="113" t="s">
        <v>591</v>
      </c>
      <c r="G233" s="113" t="s">
        <v>193</v>
      </c>
      <c r="H233" s="113" t="s">
        <v>201</v>
      </c>
      <c r="I233" s="114" t="s">
        <v>190</v>
      </c>
      <c r="J233" s="113"/>
    </row>
    <row r="234" spans="1:10" x14ac:dyDescent="0.3">
      <c r="A234" s="112" t="s">
        <v>189</v>
      </c>
      <c r="B234" s="113" t="s">
        <v>190</v>
      </c>
      <c r="C234" s="113" t="s">
        <v>585</v>
      </c>
      <c r="D234" s="113" t="s">
        <v>200</v>
      </c>
      <c r="E234" s="113" t="s">
        <v>192</v>
      </c>
      <c r="F234" s="113" t="s">
        <v>592</v>
      </c>
      <c r="G234" s="113" t="s">
        <v>193</v>
      </c>
      <c r="H234" s="113" t="s">
        <v>201</v>
      </c>
      <c r="I234" s="114" t="s">
        <v>190</v>
      </c>
      <c r="J234" s="113"/>
    </row>
    <row r="235" spans="1:10" ht="43.2" x14ac:dyDescent="0.3">
      <c r="A235" s="112" t="s">
        <v>189</v>
      </c>
      <c r="B235" s="113" t="s">
        <v>190</v>
      </c>
      <c r="C235" s="113" t="s">
        <v>585</v>
      </c>
      <c r="D235" s="113" t="s">
        <v>200</v>
      </c>
      <c r="E235" s="113" t="s">
        <v>192</v>
      </c>
      <c r="F235" s="113" t="s">
        <v>593</v>
      </c>
      <c r="G235" s="113" t="s">
        <v>193</v>
      </c>
      <c r="H235" s="113" t="s">
        <v>194</v>
      </c>
      <c r="I235" s="114" t="s">
        <v>594</v>
      </c>
      <c r="J235" s="113"/>
    </row>
    <row r="236" spans="1:10" ht="57.6" x14ac:dyDescent="0.3">
      <c r="A236" s="112" t="s">
        <v>189</v>
      </c>
      <c r="B236" s="113" t="s">
        <v>190</v>
      </c>
      <c r="C236" s="113" t="s">
        <v>585</v>
      </c>
      <c r="D236" s="113" t="s">
        <v>200</v>
      </c>
      <c r="E236" s="113" t="s">
        <v>192</v>
      </c>
      <c r="F236" s="113" t="s">
        <v>595</v>
      </c>
      <c r="G236" s="113" t="s">
        <v>596</v>
      </c>
      <c r="H236" s="113" t="s">
        <v>194</v>
      </c>
      <c r="I236" s="114" t="s">
        <v>597</v>
      </c>
      <c r="J236" s="113"/>
    </row>
    <row r="237" spans="1:10" ht="28.8" x14ac:dyDescent="0.3">
      <c r="A237" s="112" t="s">
        <v>189</v>
      </c>
      <c r="B237" s="113" t="s">
        <v>190</v>
      </c>
      <c r="C237" s="113" t="s">
        <v>585</v>
      </c>
      <c r="D237" s="113" t="s">
        <v>200</v>
      </c>
      <c r="E237" s="113" t="s">
        <v>192</v>
      </c>
      <c r="F237" s="113" t="s">
        <v>598</v>
      </c>
      <c r="G237" s="113" t="s">
        <v>584</v>
      </c>
      <c r="H237" s="113" t="s">
        <v>194</v>
      </c>
      <c r="I237" s="114" t="s">
        <v>202</v>
      </c>
      <c r="J237" s="113"/>
    </row>
    <row r="238" spans="1:10" x14ac:dyDescent="0.3">
      <c r="A238" s="112" t="s">
        <v>189</v>
      </c>
      <c r="B238" s="113" t="s">
        <v>190</v>
      </c>
      <c r="C238" s="113" t="s">
        <v>585</v>
      </c>
      <c r="D238" s="113" t="s">
        <v>200</v>
      </c>
      <c r="E238" s="113" t="s">
        <v>192</v>
      </c>
      <c r="F238" s="113" t="s">
        <v>599</v>
      </c>
      <c r="G238" s="113" t="s">
        <v>193</v>
      </c>
      <c r="H238" s="113" t="s">
        <v>201</v>
      </c>
      <c r="I238" s="114" t="s">
        <v>190</v>
      </c>
      <c r="J238" s="113"/>
    </row>
    <row r="239" spans="1:10" x14ac:dyDescent="0.3">
      <c r="A239" s="112" t="s">
        <v>189</v>
      </c>
      <c r="B239" s="113" t="s">
        <v>190</v>
      </c>
      <c r="C239" s="113" t="s">
        <v>585</v>
      </c>
      <c r="D239" s="113" t="s">
        <v>200</v>
      </c>
      <c r="E239" s="113" t="s">
        <v>192</v>
      </c>
      <c r="F239" s="113" t="s">
        <v>600</v>
      </c>
      <c r="G239" s="113" t="s">
        <v>193</v>
      </c>
      <c r="H239" s="113" t="s">
        <v>201</v>
      </c>
      <c r="I239" s="114" t="s">
        <v>190</v>
      </c>
      <c r="J239" s="113"/>
    </row>
    <row r="240" spans="1:10" x14ac:dyDescent="0.3">
      <c r="A240" s="112" t="s">
        <v>189</v>
      </c>
      <c r="B240" s="113" t="s">
        <v>190</v>
      </c>
      <c r="C240" s="113" t="s">
        <v>585</v>
      </c>
      <c r="D240" s="113" t="s">
        <v>200</v>
      </c>
      <c r="E240" s="113" t="s">
        <v>192</v>
      </c>
      <c r="F240" s="113" t="s">
        <v>601</v>
      </c>
      <c r="G240" s="113" t="s">
        <v>193</v>
      </c>
      <c r="H240" s="113" t="s">
        <v>201</v>
      </c>
      <c r="I240" s="114" t="s">
        <v>190</v>
      </c>
      <c r="J240" s="113"/>
    </row>
    <row r="241" spans="1:10" x14ac:dyDescent="0.3">
      <c r="A241" s="112" t="s">
        <v>189</v>
      </c>
      <c r="B241" s="113" t="s">
        <v>190</v>
      </c>
      <c r="C241" s="113" t="s">
        <v>585</v>
      </c>
      <c r="D241" s="113" t="s">
        <v>200</v>
      </c>
      <c r="E241" s="113" t="s">
        <v>192</v>
      </c>
      <c r="F241" s="113" t="s">
        <v>602</v>
      </c>
      <c r="G241" s="113" t="s">
        <v>193</v>
      </c>
      <c r="H241" s="113" t="s">
        <v>201</v>
      </c>
      <c r="I241" s="114" t="s">
        <v>190</v>
      </c>
      <c r="J241" s="113"/>
    </row>
    <row r="242" spans="1:10" x14ac:dyDescent="0.3">
      <c r="A242" s="112" t="s">
        <v>189</v>
      </c>
      <c r="B242" s="113" t="s">
        <v>190</v>
      </c>
      <c r="C242" s="113" t="s">
        <v>585</v>
      </c>
      <c r="D242" s="113" t="s">
        <v>200</v>
      </c>
      <c r="E242" s="113" t="s">
        <v>192</v>
      </c>
      <c r="F242" s="113" t="s">
        <v>603</v>
      </c>
      <c r="G242" s="113" t="s">
        <v>193</v>
      </c>
      <c r="H242" s="113" t="s">
        <v>201</v>
      </c>
      <c r="I242" s="114" t="s">
        <v>190</v>
      </c>
      <c r="J242" s="113"/>
    </row>
    <row r="243" spans="1:10" x14ac:dyDescent="0.3">
      <c r="A243" s="112" t="s">
        <v>189</v>
      </c>
      <c r="B243" s="113" t="s">
        <v>190</v>
      </c>
      <c r="C243" s="113" t="s">
        <v>585</v>
      </c>
      <c r="D243" s="113" t="s">
        <v>200</v>
      </c>
      <c r="E243" s="113" t="s">
        <v>192</v>
      </c>
      <c r="F243" s="113" t="s">
        <v>604</v>
      </c>
      <c r="G243" s="113" t="s">
        <v>193</v>
      </c>
      <c r="H243" s="113" t="s">
        <v>201</v>
      </c>
      <c r="I243" s="114" t="s">
        <v>190</v>
      </c>
      <c r="J243" s="113"/>
    </row>
    <row r="244" spans="1:10" x14ac:dyDescent="0.3">
      <c r="A244" s="112" t="s">
        <v>189</v>
      </c>
      <c r="B244" s="113" t="s">
        <v>190</v>
      </c>
      <c r="C244" s="113" t="s">
        <v>585</v>
      </c>
      <c r="D244" s="113" t="s">
        <v>200</v>
      </c>
      <c r="E244" s="113" t="s">
        <v>192</v>
      </c>
      <c r="F244" s="113" t="s">
        <v>605</v>
      </c>
      <c r="G244" s="113" t="s">
        <v>193</v>
      </c>
      <c r="H244" s="113" t="s">
        <v>201</v>
      </c>
      <c r="I244" s="114" t="s">
        <v>190</v>
      </c>
      <c r="J244" s="113"/>
    </row>
    <row r="245" spans="1:10" x14ac:dyDescent="0.3">
      <c r="A245" s="112" t="s">
        <v>189</v>
      </c>
      <c r="B245" s="113" t="s">
        <v>190</v>
      </c>
      <c r="C245" s="113" t="s">
        <v>585</v>
      </c>
      <c r="D245" s="113" t="s">
        <v>200</v>
      </c>
      <c r="E245" s="113" t="s">
        <v>192</v>
      </c>
      <c r="F245" s="113" t="s">
        <v>606</v>
      </c>
      <c r="G245" s="113" t="s">
        <v>193</v>
      </c>
      <c r="H245" s="113" t="s">
        <v>201</v>
      </c>
      <c r="I245" s="114" t="s">
        <v>190</v>
      </c>
      <c r="J245" s="113"/>
    </row>
    <row r="246" spans="1:10" x14ac:dyDescent="0.3">
      <c r="A246" s="112" t="s">
        <v>189</v>
      </c>
      <c r="B246" s="113" t="s">
        <v>190</v>
      </c>
      <c r="C246" s="113" t="s">
        <v>585</v>
      </c>
      <c r="D246" s="113" t="s">
        <v>200</v>
      </c>
      <c r="E246" s="113" t="s">
        <v>192</v>
      </c>
      <c r="F246" s="113" t="s">
        <v>607</v>
      </c>
      <c r="G246" s="113" t="s">
        <v>193</v>
      </c>
      <c r="H246" s="113" t="s">
        <v>194</v>
      </c>
      <c r="I246" s="114" t="s">
        <v>190</v>
      </c>
      <c r="J246" s="113"/>
    </row>
    <row r="247" spans="1:10" x14ac:dyDescent="0.3">
      <c r="A247" s="112" t="s">
        <v>189</v>
      </c>
      <c r="B247" s="113" t="s">
        <v>190</v>
      </c>
      <c r="C247" s="113" t="s">
        <v>585</v>
      </c>
      <c r="D247" s="113" t="s">
        <v>200</v>
      </c>
      <c r="E247" s="113" t="s">
        <v>192</v>
      </c>
      <c r="F247" s="113" t="s">
        <v>608</v>
      </c>
      <c r="G247" s="113" t="s">
        <v>193</v>
      </c>
      <c r="H247" s="113" t="s">
        <v>201</v>
      </c>
      <c r="I247" s="114" t="s">
        <v>190</v>
      </c>
      <c r="J247" s="113"/>
    </row>
    <row r="248" spans="1:10" x14ac:dyDescent="0.3">
      <c r="A248" s="112" t="s">
        <v>189</v>
      </c>
      <c r="B248" s="113" t="s">
        <v>190</v>
      </c>
      <c r="C248" s="113" t="s">
        <v>585</v>
      </c>
      <c r="D248" s="113" t="s">
        <v>200</v>
      </c>
      <c r="E248" s="113" t="s">
        <v>192</v>
      </c>
      <c r="F248" s="113" t="s">
        <v>609</v>
      </c>
      <c r="G248" s="113" t="s">
        <v>193</v>
      </c>
      <c r="H248" s="113" t="s">
        <v>194</v>
      </c>
      <c r="I248" s="114" t="s">
        <v>190</v>
      </c>
      <c r="J248" s="113"/>
    </row>
    <row r="249" spans="1:10" x14ac:dyDescent="0.3">
      <c r="A249" s="112" t="s">
        <v>189</v>
      </c>
      <c r="B249" s="113" t="s">
        <v>190</v>
      </c>
      <c r="C249" s="113" t="s">
        <v>585</v>
      </c>
      <c r="D249" s="113" t="s">
        <v>200</v>
      </c>
      <c r="E249" s="113" t="s">
        <v>192</v>
      </c>
      <c r="F249" s="113" t="s">
        <v>610</v>
      </c>
      <c r="G249" s="113" t="s">
        <v>193</v>
      </c>
      <c r="H249" s="113" t="s">
        <v>194</v>
      </c>
      <c r="I249" s="114" t="s">
        <v>190</v>
      </c>
      <c r="J249" s="113"/>
    </row>
    <row r="250" spans="1:10" x14ac:dyDescent="0.3">
      <c r="A250" s="112" t="s">
        <v>189</v>
      </c>
      <c r="B250" s="113" t="s">
        <v>190</v>
      </c>
      <c r="C250" s="113" t="s">
        <v>585</v>
      </c>
      <c r="D250" s="113" t="s">
        <v>200</v>
      </c>
      <c r="E250" s="113" t="s">
        <v>192</v>
      </c>
      <c r="F250" s="113" t="s">
        <v>611</v>
      </c>
      <c r="G250" s="113" t="s">
        <v>193</v>
      </c>
      <c r="H250" s="113" t="s">
        <v>194</v>
      </c>
      <c r="I250" s="114" t="s">
        <v>190</v>
      </c>
      <c r="J250" s="113"/>
    </row>
    <row r="251" spans="1:10" x14ac:dyDescent="0.3">
      <c r="A251" s="112" t="s">
        <v>189</v>
      </c>
      <c r="B251" s="113" t="s">
        <v>190</v>
      </c>
      <c r="C251" s="113" t="s">
        <v>612</v>
      </c>
      <c r="D251" s="113" t="s">
        <v>200</v>
      </c>
      <c r="E251" s="113" t="s">
        <v>192</v>
      </c>
      <c r="F251" s="113" t="s">
        <v>613</v>
      </c>
      <c r="G251" s="113" t="s">
        <v>193</v>
      </c>
      <c r="H251" s="113" t="s">
        <v>201</v>
      </c>
      <c r="I251" s="114" t="s">
        <v>190</v>
      </c>
      <c r="J251" s="113"/>
    </row>
    <row r="252" spans="1:10" ht="43.2" x14ac:dyDescent="0.3">
      <c r="A252" s="112" t="s">
        <v>189</v>
      </c>
      <c r="B252" s="113" t="s">
        <v>190</v>
      </c>
      <c r="C252" s="113" t="s">
        <v>612</v>
      </c>
      <c r="D252" s="113" t="s">
        <v>200</v>
      </c>
      <c r="E252" s="113" t="s">
        <v>192</v>
      </c>
      <c r="F252" s="113" t="s">
        <v>614</v>
      </c>
      <c r="G252" s="113" t="s">
        <v>193</v>
      </c>
      <c r="H252" s="113" t="s">
        <v>204</v>
      </c>
      <c r="I252" s="114" t="s">
        <v>615</v>
      </c>
      <c r="J252" s="113"/>
    </row>
    <row r="253" spans="1:10" ht="57.6" x14ac:dyDescent="0.3">
      <c r="A253" s="112" t="s">
        <v>189</v>
      </c>
      <c r="B253" s="113" t="s">
        <v>190</v>
      </c>
      <c r="C253" s="113" t="s">
        <v>612</v>
      </c>
      <c r="D253" s="113" t="s">
        <v>200</v>
      </c>
      <c r="E253" s="113" t="s">
        <v>192</v>
      </c>
      <c r="F253" s="113" t="s">
        <v>616</v>
      </c>
      <c r="G253" s="113" t="s">
        <v>193</v>
      </c>
      <c r="H253" s="113" t="s">
        <v>201</v>
      </c>
      <c r="I253" s="114" t="s">
        <v>617</v>
      </c>
      <c r="J253" s="113"/>
    </row>
    <row r="254" spans="1:10" ht="28.8" x14ac:dyDescent="0.3">
      <c r="A254" s="112" t="s">
        <v>189</v>
      </c>
      <c r="B254" s="113" t="s">
        <v>190</v>
      </c>
      <c r="C254" s="113" t="s">
        <v>612</v>
      </c>
      <c r="D254" s="113" t="s">
        <v>200</v>
      </c>
      <c r="E254" s="113" t="s">
        <v>192</v>
      </c>
      <c r="F254" s="113" t="s">
        <v>618</v>
      </c>
      <c r="G254" s="113" t="s">
        <v>193</v>
      </c>
      <c r="H254" s="113" t="s">
        <v>204</v>
      </c>
      <c r="I254" s="114" t="s">
        <v>619</v>
      </c>
      <c r="J254" s="113"/>
    </row>
    <row r="255" spans="1:10" ht="57.6" x14ac:dyDescent="0.3">
      <c r="A255" s="112" t="s">
        <v>189</v>
      </c>
      <c r="B255" s="113" t="s">
        <v>190</v>
      </c>
      <c r="C255" s="113" t="s">
        <v>612</v>
      </c>
      <c r="D255" s="113" t="s">
        <v>200</v>
      </c>
      <c r="E255" s="113" t="s">
        <v>192</v>
      </c>
      <c r="F255" s="113" t="s">
        <v>620</v>
      </c>
      <c r="G255" s="113" t="s">
        <v>193</v>
      </c>
      <c r="H255" s="113" t="s">
        <v>194</v>
      </c>
      <c r="I255" s="114" t="s">
        <v>621</v>
      </c>
      <c r="J255" s="113"/>
    </row>
    <row r="256" spans="1:10" ht="57.6" x14ac:dyDescent="0.3">
      <c r="A256" s="112" t="s">
        <v>189</v>
      </c>
      <c r="B256" s="113" t="s">
        <v>190</v>
      </c>
      <c r="C256" s="113" t="s">
        <v>612</v>
      </c>
      <c r="D256" s="113" t="s">
        <v>200</v>
      </c>
      <c r="E256" s="113" t="s">
        <v>192</v>
      </c>
      <c r="F256" s="113" t="s">
        <v>622</v>
      </c>
      <c r="G256" s="113" t="s">
        <v>193</v>
      </c>
      <c r="H256" s="113" t="s">
        <v>194</v>
      </c>
      <c r="I256" s="114" t="s">
        <v>623</v>
      </c>
      <c r="J256" s="113"/>
    </row>
    <row r="257" spans="1:10" ht="43.2" x14ac:dyDescent="0.3">
      <c r="A257" s="112" t="s">
        <v>189</v>
      </c>
      <c r="B257" s="113" t="s">
        <v>190</v>
      </c>
      <c r="C257" s="113" t="s">
        <v>612</v>
      </c>
      <c r="D257" s="113" t="s">
        <v>200</v>
      </c>
      <c r="E257" s="113" t="s">
        <v>192</v>
      </c>
      <c r="F257" s="113" t="s">
        <v>624</v>
      </c>
      <c r="G257" s="113" t="s">
        <v>193</v>
      </c>
      <c r="H257" s="113" t="s">
        <v>201</v>
      </c>
      <c r="I257" s="114" t="s">
        <v>625</v>
      </c>
      <c r="J257" s="113"/>
    </row>
    <row r="258" spans="1:10" x14ac:dyDescent="0.3">
      <c r="A258" s="112" t="s">
        <v>189</v>
      </c>
      <c r="B258" s="113" t="s">
        <v>190</v>
      </c>
      <c r="C258" s="113" t="s">
        <v>612</v>
      </c>
      <c r="D258" s="113" t="s">
        <v>200</v>
      </c>
      <c r="E258" s="113" t="s">
        <v>192</v>
      </c>
      <c r="F258" s="113" t="s">
        <v>626</v>
      </c>
      <c r="G258" s="113" t="s">
        <v>193</v>
      </c>
      <c r="H258" s="113" t="s">
        <v>201</v>
      </c>
      <c r="I258" s="114" t="s">
        <v>190</v>
      </c>
      <c r="J258" s="113"/>
    </row>
    <row r="259" spans="1:10" x14ac:dyDescent="0.3">
      <c r="A259" s="112" t="s">
        <v>189</v>
      </c>
      <c r="B259" s="113" t="s">
        <v>190</v>
      </c>
      <c r="C259" s="113" t="s">
        <v>612</v>
      </c>
      <c r="D259" s="113" t="s">
        <v>200</v>
      </c>
      <c r="E259" s="113" t="s">
        <v>192</v>
      </c>
      <c r="F259" s="113" t="s">
        <v>627</v>
      </c>
      <c r="G259" s="113" t="s">
        <v>193</v>
      </c>
      <c r="H259" s="113" t="s">
        <v>201</v>
      </c>
      <c r="I259" s="114" t="s">
        <v>190</v>
      </c>
      <c r="J259" s="113"/>
    </row>
    <row r="260" spans="1:10" x14ac:dyDescent="0.3">
      <c r="A260" s="112" t="s">
        <v>189</v>
      </c>
      <c r="B260" s="113" t="s">
        <v>190</v>
      </c>
      <c r="C260" s="113" t="s">
        <v>612</v>
      </c>
      <c r="D260" s="113" t="s">
        <v>200</v>
      </c>
      <c r="E260" s="113" t="s">
        <v>192</v>
      </c>
      <c r="F260" s="113" t="s">
        <v>628</v>
      </c>
      <c r="G260" s="113" t="s">
        <v>193</v>
      </c>
      <c r="H260" s="113" t="s">
        <v>201</v>
      </c>
      <c r="I260" s="114" t="s">
        <v>190</v>
      </c>
      <c r="J260" s="113"/>
    </row>
    <row r="261" spans="1:10" x14ac:dyDescent="0.3">
      <c r="A261" s="112" t="s">
        <v>189</v>
      </c>
      <c r="B261" s="113" t="s">
        <v>190</v>
      </c>
      <c r="C261" s="113" t="s">
        <v>612</v>
      </c>
      <c r="D261" s="113" t="s">
        <v>200</v>
      </c>
      <c r="E261" s="113" t="s">
        <v>192</v>
      </c>
      <c r="F261" s="113" t="s">
        <v>629</v>
      </c>
      <c r="G261" s="113" t="s">
        <v>193</v>
      </c>
      <c r="H261" s="113" t="s">
        <v>194</v>
      </c>
      <c r="I261" s="114" t="s">
        <v>190</v>
      </c>
      <c r="J261" s="113"/>
    </row>
    <row r="262" spans="1:10" x14ac:dyDescent="0.3">
      <c r="A262" s="112" t="s">
        <v>189</v>
      </c>
      <c r="B262" s="113" t="s">
        <v>190</v>
      </c>
      <c r="C262" s="113" t="s">
        <v>612</v>
      </c>
      <c r="D262" s="113" t="s">
        <v>200</v>
      </c>
      <c r="E262" s="113" t="s">
        <v>192</v>
      </c>
      <c r="F262" s="113" t="s">
        <v>630</v>
      </c>
      <c r="G262" s="113" t="s">
        <v>193</v>
      </c>
      <c r="H262" s="113" t="s">
        <v>201</v>
      </c>
      <c r="I262" s="114" t="s">
        <v>190</v>
      </c>
      <c r="J262" s="113"/>
    </row>
    <row r="263" spans="1:10" ht="43.2" x14ac:dyDescent="0.3">
      <c r="A263" s="112" t="s">
        <v>189</v>
      </c>
      <c r="B263" s="113" t="s">
        <v>190</v>
      </c>
      <c r="C263" s="113" t="s">
        <v>612</v>
      </c>
      <c r="D263" s="113" t="s">
        <v>200</v>
      </c>
      <c r="E263" s="113" t="s">
        <v>192</v>
      </c>
      <c r="F263" s="113" t="s">
        <v>631</v>
      </c>
      <c r="G263" s="113" t="s">
        <v>193</v>
      </c>
      <c r="H263" s="113" t="s">
        <v>204</v>
      </c>
      <c r="I263" s="114" t="s">
        <v>632</v>
      </c>
      <c r="J263" s="113"/>
    </row>
    <row r="264" spans="1:10" x14ac:dyDescent="0.3">
      <c r="A264" s="112" t="s">
        <v>264</v>
      </c>
      <c r="B264" s="113" t="s">
        <v>264</v>
      </c>
      <c r="C264" s="113" t="s">
        <v>612</v>
      </c>
      <c r="D264" s="113" t="s">
        <v>633</v>
      </c>
      <c r="E264" s="113" t="s">
        <v>192</v>
      </c>
      <c r="F264" s="113" t="s">
        <v>634</v>
      </c>
      <c r="G264" s="113" t="s">
        <v>193</v>
      </c>
      <c r="H264" s="113" t="s">
        <v>201</v>
      </c>
      <c r="I264" s="114" t="s">
        <v>190</v>
      </c>
      <c r="J264" s="113"/>
    </row>
    <row r="265" spans="1:10" x14ac:dyDescent="0.3">
      <c r="A265" s="112" t="s">
        <v>189</v>
      </c>
      <c r="B265" s="113" t="s">
        <v>190</v>
      </c>
      <c r="C265" s="113" t="s">
        <v>612</v>
      </c>
      <c r="D265" s="113" t="s">
        <v>200</v>
      </c>
      <c r="E265" s="113" t="s">
        <v>192</v>
      </c>
      <c r="F265" s="113" t="s">
        <v>635</v>
      </c>
      <c r="G265" s="113" t="s">
        <v>193</v>
      </c>
      <c r="H265" s="113" t="s">
        <v>201</v>
      </c>
      <c r="I265" s="114" t="s">
        <v>190</v>
      </c>
      <c r="J265" s="113"/>
    </row>
    <row r="266" spans="1:10" x14ac:dyDescent="0.3">
      <c r="A266" s="112" t="s">
        <v>189</v>
      </c>
      <c r="B266" s="113" t="s">
        <v>190</v>
      </c>
      <c r="C266" s="113" t="s">
        <v>612</v>
      </c>
      <c r="D266" s="113" t="s">
        <v>200</v>
      </c>
      <c r="E266" s="113" t="s">
        <v>192</v>
      </c>
      <c r="F266" s="113" t="s">
        <v>636</v>
      </c>
      <c r="G266" s="113" t="s">
        <v>193</v>
      </c>
      <c r="H266" s="113" t="s">
        <v>201</v>
      </c>
      <c r="I266" s="114" t="s">
        <v>190</v>
      </c>
      <c r="J266" s="113"/>
    </row>
    <row r="267" spans="1:10" x14ac:dyDescent="0.3">
      <c r="A267" s="112" t="s">
        <v>189</v>
      </c>
      <c r="B267" s="113" t="s">
        <v>190</v>
      </c>
      <c r="C267" s="113" t="s">
        <v>612</v>
      </c>
      <c r="D267" s="113" t="s">
        <v>200</v>
      </c>
      <c r="E267" s="113" t="s">
        <v>192</v>
      </c>
      <c r="F267" s="113" t="s">
        <v>637</v>
      </c>
      <c r="G267" s="113" t="s">
        <v>193</v>
      </c>
      <c r="H267" s="113" t="s">
        <v>194</v>
      </c>
      <c r="I267" s="114" t="s">
        <v>190</v>
      </c>
      <c r="J267" s="113"/>
    </row>
    <row r="268" spans="1:10" ht="43.2" x14ac:dyDescent="0.3">
      <c r="A268" s="112" t="s">
        <v>189</v>
      </c>
      <c r="B268" s="113" t="s">
        <v>190</v>
      </c>
      <c r="C268" s="113" t="s">
        <v>612</v>
      </c>
      <c r="D268" s="113" t="s">
        <v>200</v>
      </c>
      <c r="E268" s="113" t="s">
        <v>192</v>
      </c>
      <c r="F268" s="113" t="s">
        <v>638</v>
      </c>
      <c r="G268" s="113" t="s">
        <v>193</v>
      </c>
      <c r="H268" s="113" t="s">
        <v>204</v>
      </c>
      <c r="I268" s="114" t="s">
        <v>639</v>
      </c>
      <c r="J268" s="113"/>
    </row>
    <row r="269" spans="1:10" x14ac:dyDescent="0.3">
      <c r="A269" s="112" t="s">
        <v>189</v>
      </c>
      <c r="B269" s="113" t="s">
        <v>190</v>
      </c>
      <c r="C269" s="113" t="s">
        <v>612</v>
      </c>
      <c r="D269" s="113" t="s">
        <v>200</v>
      </c>
      <c r="E269" s="113" t="s">
        <v>192</v>
      </c>
      <c r="F269" s="113" t="s">
        <v>640</v>
      </c>
      <c r="G269" s="113" t="s">
        <v>193</v>
      </c>
      <c r="H269" s="113" t="s">
        <v>194</v>
      </c>
      <c r="I269" s="114" t="s">
        <v>190</v>
      </c>
      <c r="J269" s="113"/>
    </row>
    <row r="270" spans="1:10" x14ac:dyDescent="0.3">
      <c r="A270" s="112" t="s">
        <v>189</v>
      </c>
      <c r="B270" s="113" t="s">
        <v>190</v>
      </c>
      <c r="C270" s="113" t="s">
        <v>612</v>
      </c>
      <c r="D270" s="113" t="s">
        <v>200</v>
      </c>
      <c r="E270" s="113" t="s">
        <v>192</v>
      </c>
      <c r="F270" s="113" t="s">
        <v>641</v>
      </c>
      <c r="G270" s="113" t="s">
        <v>193</v>
      </c>
      <c r="H270" s="113" t="s">
        <v>194</v>
      </c>
      <c r="I270" s="114" t="s">
        <v>190</v>
      </c>
      <c r="J270" s="113"/>
    </row>
    <row r="271" spans="1:10" x14ac:dyDescent="0.3">
      <c r="A271" s="112" t="s">
        <v>189</v>
      </c>
      <c r="B271" s="113" t="s">
        <v>190</v>
      </c>
      <c r="C271" s="113" t="s">
        <v>612</v>
      </c>
      <c r="D271" s="113" t="s">
        <v>200</v>
      </c>
      <c r="E271" s="113" t="s">
        <v>192</v>
      </c>
      <c r="F271" s="113" t="s">
        <v>642</v>
      </c>
      <c r="G271" s="113" t="s">
        <v>193</v>
      </c>
      <c r="H271" s="113" t="s">
        <v>194</v>
      </c>
      <c r="I271" s="114" t="s">
        <v>190</v>
      </c>
      <c r="J271" s="113"/>
    </row>
    <row r="272" spans="1:10" x14ac:dyDescent="0.3">
      <c r="A272" s="112" t="s">
        <v>189</v>
      </c>
      <c r="B272" s="113" t="s">
        <v>190</v>
      </c>
      <c r="C272" s="113" t="s">
        <v>612</v>
      </c>
      <c r="D272" s="113" t="s">
        <v>200</v>
      </c>
      <c r="E272" s="113" t="s">
        <v>192</v>
      </c>
      <c r="F272" s="113" t="s">
        <v>643</v>
      </c>
      <c r="G272" s="113" t="s">
        <v>193</v>
      </c>
      <c r="H272" s="113" t="s">
        <v>194</v>
      </c>
      <c r="I272" s="114" t="s">
        <v>190</v>
      </c>
      <c r="J272" s="113"/>
    </row>
    <row r="273" spans="1:10" x14ac:dyDescent="0.3">
      <c r="A273" s="112" t="s">
        <v>189</v>
      </c>
      <c r="B273" s="113" t="s">
        <v>190</v>
      </c>
      <c r="C273" s="113" t="s">
        <v>612</v>
      </c>
      <c r="D273" s="113" t="s">
        <v>200</v>
      </c>
      <c r="E273" s="113" t="s">
        <v>192</v>
      </c>
      <c r="F273" s="113" t="s">
        <v>644</v>
      </c>
      <c r="G273" s="113" t="s">
        <v>193</v>
      </c>
      <c r="H273" s="113" t="s">
        <v>194</v>
      </c>
      <c r="I273" s="114" t="s">
        <v>190</v>
      </c>
      <c r="J273" s="113"/>
    </row>
    <row r="274" spans="1:10" x14ac:dyDescent="0.3">
      <c r="A274" s="112" t="s">
        <v>189</v>
      </c>
      <c r="B274" s="113" t="s">
        <v>190</v>
      </c>
      <c r="C274" s="113" t="s">
        <v>612</v>
      </c>
      <c r="D274" s="113" t="s">
        <v>200</v>
      </c>
      <c r="E274" s="113" t="s">
        <v>192</v>
      </c>
      <c r="F274" s="113" t="s">
        <v>645</v>
      </c>
      <c r="G274" s="113" t="s">
        <v>193</v>
      </c>
      <c r="H274" s="113" t="s">
        <v>194</v>
      </c>
      <c r="I274" s="114" t="s">
        <v>190</v>
      </c>
      <c r="J274" s="113"/>
    </row>
    <row r="275" spans="1:10" x14ac:dyDescent="0.3">
      <c r="A275" s="112" t="s">
        <v>189</v>
      </c>
      <c r="B275" s="113" t="s">
        <v>190</v>
      </c>
      <c r="C275" s="113" t="s">
        <v>612</v>
      </c>
      <c r="D275" s="113" t="s">
        <v>200</v>
      </c>
      <c r="E275" s="113" t="s">
        <v>192</v>
      </c>
      <c r="F275" s="113" t="s">
        <v>646</v>
      </c>
      <c r="G275" s="113" t="s">
        <v>193</v>
      </c>
      <c r="H275" s="113" t="s">
        <v>194</v>
      </c>
      <c r="I275" s="114" t="s">
        <v>190</v>
      </c>
      <c r="J275" s="113"/>
    </row>
    <row r="276" spans="1:10" x14ac:dyDescent="0.3">
      <c r="A276" s="112" t="s">
        <v>189</v>
      </c>
      <c r="B276" s="113" t="s">
        <v>190</v>
      </c>
      <c r="C276" s="113" t="s">
        <v>612</v>
      </c>
      <c r="D276" s="113" t="s">
        <v>200</v>
      </c>
      <c r="E276" s="113" t="s">
        <v>192</v>
      </c>
      <c r="F276" s="113" t="s">
        <v>647</v>
      </c>
      <c r="G276" s="113" t="s">
        <v>193</v>
      </c>
      <c r="H276" s="113" t="s">
        <v>194</v>
      </c>
      <c r="I276" s="114" t="s">
        <v>190</v>
      </c>
      <c r="J276" s="113"/>
    </row>
    <row r="277" spans="1:10" x14ac:dyDescent="0.3">
      <c r="A277" s="112" t="s">
        <v>189</v>
      </c>
      <c r="B277" s="113" t="s">
        <v>190</v>
      </c>
      <c r="C277" s="113" t="s">
        <v>612</v>
      </c>
      <c r="D277" s="113" t="s">
        <v>200</v>
      </c>
      <c r="E277" s="113" t="s">
        <v>192</v>
      </c>
      <c r="F277" s="113" t="s">
        <v>648</v>
      </c>
      <c r="G277" s="113" t="s">
        <v>193</v>
      </c>
      <c r="H277" s="113" t="s">
        <v>194</v>
      </c>
      <c r="I277" s="114" t="s">
        <v>190</v>
      </c>
      <c r="J277" s="113"/>
    </row>
    <row r="278" spans="1:10" x14ac:dyDescent="0.3">
      <c r="A278" s="112" t="s">
        <v>189</v>
      </c>
      <c r="B278" s="113" t="s">
        <v>190</v>
      </c>
      <c r="C278" s="113" t="s">
        <v>612</v>
      </c>
      <c r="D278" s="113" t="s">
        <v>200</v>
      </c>
      <c r="E278" s="113" t="s">
        <v>192</v>
      </c>
      <c r="F278" s="113" t="s">
        <v>649</v>
      </c>
      <c r="G278" s="113" t="s">
        <v>193</v>
      </c>
      <c r="H278" s="113" t="s">
        <v>194</v>
      </c>
      <c r="I278" s="114" t="s">
        <v>190</v>
      </c>
      <c r="J278" s="113"/>
    </row>
    <row r="279" spans="1:10" x14ac:dyDescent="0.3">
      <c r="A279" s="112" t="s">
        <v>189</v>
      </c>
      <c r="B279" s="113" t="s">
        <v>190</v>
      </c>
      <c r="C279" s="113" t="s">
        <v>612</v>
      </c>
      <c r="D279" s="113" t="s">
        <v>200</v>
      </c>
      <c r="E279" s="113" t="s">
        <v>192</v>
      </c>
      <c r="F279" s="113" t="s">
        <v>650</v>
      </c>
      <c r="G279" s="113" t="s">
        <v>193</v>
      </c>
      <c r="H279" s="113" t="s">
        <v>194</v>
      </c>
      <c r="I279" s="114" t="s">
        <v>190</v>
      </c>
      <c r="J279" s="113"/>
    </row>
    <row r="280" spans="1:10" x14ac:dyDescent="0.3">
      <c r="A280" s="112" t="s">
        <v>189</v>
      </c>
      <c r="B280" s="113" t="s">
        <v>190</v>
      </c>
      <c r="C280" s="113" t="s">
        <v>612</v>
      </c>
      <c r="D280" s="113" t="s">
        <v>200</v>
      </c>
      <c r="E280" s="113" t="s">
        <v>192</v>
      </c>
      <c r="F280" s="113" t="s">
        <v>582</v>
      </c>
      <c r="G280" s="113" t="s">
        <v>193</v>
      </c>
      <c r="H280" s="113" t="s">
        <v>194</v>
      </c>
      <c r="I280" s="114" t="s">
        <v>190</v>
      </c>
      <c r="J280" s="113"/>
    </row>
    <row r="281" spans="1:10" ht="43.2" x14ac:dyDescent="0.3">
      <c r="A281" s="112" t="s">
        <v>189</v>
      </c>
      <c r="B281" s="113" t="s">
        <v>190</v>
      </c>
      <c r="C281" s="113" t="s">
        <v>651</v>
      </c>
      <c r="D281" s="113" t="s">
        <v>200</v>
      </c>
      <c r="E281" s="113" t="s">
        <v>192</v>
      </c>
      <c r="F281" s="113" t="s">
        <v>652</v>
      </c>
      <c r="G281" s="113" t="s">
        <v>193</v>
      </c>
      <c r="H281" s="113" t="s">
        <v>201</v>
      </c>
      <c r="I281" s="114" t="s">
        <v>653</v>
      </c>
      <c r="J281" s="113"/>
    </row>
    <row r="282" spans="1:10" ht="57.6" x14ac:dyDescent="0.3">
      <c r="A282" s="112" t="s">
        <v>189</v>
      </c>
      <c r="B282" s="113" t="s">
        <v>190</v>
      </c>
      <c r="C282" s="113" t="s">
        <v>651</v>
      </c>
      <c r="D282" s="113" t="s">
        <v>200</v>
      </c>
      <c r="E282" s="113" t="s">
        <v>192</v>
      </c>
      <c r="F282" s="113" t="s">
        <v>654</v>
      </c>
      <c r="G282" s="113" t="s">
        <v>248</v>
      </c>
      <c r="H282" s="113" t="s">
        <v>204</v>
      </c>
      <c r="I282" s="114" t="s">
        <v>655</v>
      </c>
      <c r="J282" s="113"/>
    </row>
    <row r="283" spans="1:10" ht="86.4" x14ac:dyDescent="0.3">
      <c r="A283" s="112" t="s">
        <v>189</v>
      </c>
      <c r="B283" s="113" t="s">
        <v>190</v>
      </c>
      <c r="C283" s="113" t="s">
        <v>651</v>
      </c>
      <c r="D283" s="113" t="s">
        <v>200</v>
      </c>
      <c r="E283" s="113" t="s">
        <v>192</v>
      </c>
      <c r="F283" s="113" t="s">
        <v>656</v>
      </c>
      <c r="G283" s="113" t="s">
        <v>193</v>
      </c>
      <c r="H283" s="113" t="s">
        <v>194</v>
      </c>
      <c r="I283" s="114" t="s">
        <v>657</v>
      </c>
      <c r="J283" s="113"/>
    </row>
    <row r="284" spans="1:10" ht="43.2" x14ac:dyDescent="0.3">
      <c r="A284" s="112" t="s">
        <v>189</v>
      </c>
      <c r="B284" s="113" t="s">
        <v>190</v>
      </c>
      <c r="C284" s="113" t="s">
        <v>651</v>
      </c>
      <c r="D284" s="113" t="s">
        <v>200</v>
      </c>
      <c r="E284" s="113" t="s">
        <v>192</v>
      </c>
      <c r="F284" s="113" t="s">
        <v>536</v>
      </c>
      <c r="G284" s="113" t="s">
        <v>193</v>
      </c>
      <c r="H284" s="113" t="s">
        <v>194</v>
      </c>
      <c r="I284" s="114" t="s">
        <v>658</v>
      </c>
      <c r="J284" s="113"/>
    </row>
    <row r="285" spans="1:10" x14ac:dyDescent="0.3">
      <c r="A285" s="112" t="s">
        <v>189</v>
      </c>
      <c r="B285" s="113" t="s">
        <v>190</v>
      </c>
      <c r="C285" s="113" t="s">
        <v>651</v>
      </c>
      <c r="D285" s="113" t="s">
        <v>200</v>
      </c>
      <c r="E285" s="113" t="s">
        <v>192</v>
      </c>
      <c r="F285" s="113" t="s">
        <v>659</v>
      </c>
      <c r="G285" s="113" t="s">
        <v>193</v>
      </c>
      <c r="H285" s="113" t="s">
        <v>201</v>
      </c>
      <c r="I285" s="114" t="s">
        <v>190</v>
      </c>
      <c r="J285" s="113"/>
    </row>
    <row r="286" spans="1:10" ht="28.8" x14ac:dyDescent="0.3">
      <c r="A286" s="112" t="s">
        <v>189</v>
      </c>
      <c r="B286" s="113" t="s">
        <v>190</v>
      </c>
      <c r="C286" s="113" t="s">
        <v>651</v>
      </c>
      <c r="D286" s="113" t="s">
        <v>200</v>
      </c>
      <c r="E286" s="113" t="s">
        <v>192</v>
      </c>
      <c r="F286" s="113" t="s">
        <v>660</v>
      </c>
      <c r="G286" s="113" t="s">
        <v>193</v>
      </c>
      <c r="H286" s="113" t="s">
        <v>204</v>
      </c>
      <c r="I286" s="114" t="s">
        <v>661</v>
      </c>
      <c r="J286" s="113"/>
    </row>
    <row r="287" spans="1:10" x14ac:dyDescent="0.3">
      <c r="A287" s="112" t="s">
        <v>189</v>
      </c>
      <c r="B287" s="113" t="s">
        <v>190</v>
      </c>
      <c r="C287" s="113" t="s">
        <v>651</v>
      </c>
      <c r="D287" s="113" t="s">
        <v>200</v>
      </c>
      <c r="E287" s="113" t="s">
        <v>192</v>
      </c>
      <c r="F287" s="113" t="s">
        <v>662</v>
      </c>
      <c r="G287" s="113" t="s">
        <v>193</v>
      </c>
      <c r="H287" s="113" t="s">
        <v>201</v>
      </c>
      <c r="I287" s="114" t="s">
        <v>190</v>
      </c>
      <c r="J287" s="113"/>
    </row>
    <row r="288" spans="1:10" ht="43.2" x14ac:dyDescent="0.3">
      <c r="A288" s="112" t="s">
        <v>189</v>
      </c>
      <c r="B288" s="113" t="s">
        <v>190</v>
      </c>
      <c r="C288" s="113" t="s">
        <v>651</v>
      </c>
      <c r="D288" s="113" t="s">
        <v>200</v>
      </c>
      <c r="E288" s="113" t="s">
        <v>192</v>
      </c>
      <c r="F288" s="113" t="s">
        <v>663</v>
      </c>
      <c r="G288" s="113" t="s">
        <v>193</v>
      </c>
      <c r="H288" s="113" t="s">
        <v>204</v>
      </c>
      <c r="I288" s="114" t="s">
        <v>664</v>
      </c>
      <c r="J288" s="113"/>
    </row>
    <row r="289" spans="1:10" ht="28.8" x14ac:dyDescent="0.3">
      <c r="A289" s="112" t="s">
        <v>189</v>
      </c>
      <c r="B289" s="113" t="s">
        <v>190</v>
      </c>
      <c r="C289" s="113" t="s">
        <v>651</v>
      </c>
      <c r="D289" s="113" t="s">
        <v>200</v>
      </c>
      <c r="E289" s="113" t="s">
        <v>192</v>
      </c>
      <c r="F289" s="113" t="s">
        <v>665</v>
      </c>
      <c r="G289" s="113" t="s">
        <v>193</v>
      </c>
      <c r="H289" s="113" t="s">
        <v>204</v>
      </c>
      <c r="I289" s="114" t="s">
        <v>666</v>
      </c>
      <c r="J289" s="113"/>
    </row>
    <row r="290" spans="1:10" ht="43.2" x14ac:dyDescent="0.3">
      <c r="A290" s="112" t="s">
        <v>189</v>
      </c>
      <c r="B290" s="113" t="s">
        <v>190</v>
      </c>
      <c r="C290" s="113" t="s">
        <v>651</v>
      </c>
      <c r="D290" s="113" t="s">
        <v>200</v>
      </c>
      <c r="E290" s="113" t="s">
        <v>192</v>
      </c>
      <c r="F290" s="113" t="s">
        <v>667</v>
      </c>
      <c r="G290" s="113" t="s">
        <v>193</v>
      </c>
      <c r="H290" s="113" t="s">
        <v>201</v>
      </c>
      <c r="I290" s="114" t="s">
        <v>668</v>
      </c>
      <c r="J290" s="113"/>
    </row>
    <row r="291" spans="1:10" x14ac:dyDescent="0.3">
      <c r="A291" s="112" t="s">
        <v>189</v>
      </c>
      <c r="B291" s="113" t="s">
        <v>190</v>
      </c>
      <c r="C291" s="113" t="s">
        <v>651</v>
      </c>
      <c r="D291" s="113" t="s">
        <v>200</v>
      </c>
      <c r="E291" s="113" t="s">
        <v>192</v>
      </c>
      <c r="F291" s="113" t="s">
        <v>669</v>
      </c>
      <c r="G291" s="113" t="s">
        <v>193</v>
      </c>
      <c r="H291" s="113" t="s">
        <v>201</v>
      </c>
      <c r="I291" s="114" t="s">
        <v>190</v>
      </c>
      <c r="J291" s="113"/>
    </row>
    <row r="292" spans="1:10" x14ac:dyDescent="0.3">
      <c r="A292" s="112" t="s">
        <v>189</v>
      </c>
      <c r="B292" s="113" t="s">
        <v>190</v>
      </c>
      <c r="C292" s="113" t="s">
        <v>651</v>
      </c>
      <c r="D292" s="113" t="s">
        <v>200</v>
      </c>
      <c r="E292" s="113" t="s">
        <v>192</v>
      </c>
      <c r="F292" s="113" t="s">
        <v>670</v>
      </c>
      <c r="G292" s="113" t="s">
        <v>193</v>
      </c>
      <c r="H292" s="113" t="s">
        <v>201</v>
      </c>
      <c r="I292" s="114" t="s">
        <v>190</v>
      </c>
      <c r="J292" s="113"/>
    </row>
    <row r="293" spans="1:10" x14ac:dyDescent="0.3">
      <c r="A293" s="112" t="s">
        <v>189</v>
      </c>
      <c r="B293" s="113" t="s">
        <v>190</v>
      </c>
      <c r="C293" s="113" t="s">
        <v>651</v>
      </c>
      <c r="D293" s="113" t="s">
        <v>200</v>
      </c>
      <c r="E293" s="113" t="s">
        <v>192</v>
      </c>
      <c r="F293" s="113" t="s">
        <v>671</v>
      </c>
      <c r="G293" s="113" t="s">
        <v>193</v>
      </c>
      <c r="H293" s="113" t="s">
        <v>201</v>
      </c>
      <c r="I293" s="114" t="s">
        <v>190</v>
      </c>
      <c r="J293" s="113"/>
    </row>
    <row r="294" spans="1:10" x14ac:dyDescent="0.3">
      <c r="A294" s="112" t="s">
        <v>189</v>
      </c>
      <c r="B294" s="113" t="s">
        <v>190</v>
      </c>
      <c r="C294" s="113" t="s">
        <v>651</v>
      </c>
      <c r="D294" s="113" t="s">
        <v>200</v>
      </c>
      <c r="E294" s="113" t="s">
        <v>192</v>
      </c>
      <c r="F294" s="113" t="s">
        <v>672</v>
      </c>
      <c r="G294" s="113" t="s">
        <v>193</v>
      </c>
      <c r="H294" s="113" t="s">
        <v>201</v>
      </c>
      <c r="I294" s="114" t="s">
        <v>190</v>
      </c>
      <c r="J294" s="113"/>
    </row>
    <row r="295" spans="1:10" x14ac:dyDescent="0.3">
      <c r="A295" s="112" t="s">
        <v>189</v>
      </c>
      <c r="B295" s="113" t="s">
        <v>190</v>
      </c>
      <c r="C295" s="113" t="s">
        <v>651</v>
      </c>
      <c r="D295" s="113" t="s">
        <v>200</v>
      </c>
      <c r="E295" s="113" t="s">
        <v>192</v>
      </c>
      <c r="F295" s="113" t="s">
        <v>673</v>
      </c>
      <c r="G295" s="113" t="s">
        <v>248</v>
      </c>
      <c r="H295" s="113" t="s">
        <v>201</v>
      </c>
      <c r="I295" s="114" t="s">
        <v>190</v>
      </c>
      <c r="J295" s="113"/>
    </row>
    <row r="296" spans="1:10" ht="43.2" x14ac:dyDescent="0.3">
      <c r="A296" s="112" t="s">
        <v>189</v>
      </c>
      <c r="B296" s="113" t="s">
        <v>190</v>
      </c>
      <c r="C296" s="113" t="s">
        <v>651</v>
      </c>
      <c r="D296" s="113" t="s">
        <v>200</v>
      </c>
      <c r="E296" s="113" t="s">
        <v>192</v>
      </c>
      <c r="F296" s="113" t="s">
        <v>536</v>
      </c>
      <c r="G296" s="113" t="s">
        <v>193</v>
      </c>
      <c r="H296" s="113" t="s">
        <v>194</v>
      </c>
      <c r="I296" s="114" t="s">
        <v>674</v>
      </c>
      <c r="J296" s="113"/>
    </row>
    <row r="297" spans="1:10" x14ac:dyDescent="0.3">
      <c r="A297" s="112" t="s">
        <v>189</v>
      </c>
      <c r="B297" s="113" t="s">
        <v>190</v>
      </c>
      <c r="C297" s="113" t="s">
        <v>651</v>
      </c>
      <c r="D297" s="113" t="s">
        <v>200</v>
      </c>
      <c r="E297" s="113" t="s">
        <v>192</v>
      </c>
      <c r="F297" s="113" t="s">
        <v>675</v>
      </c>
      <c r="G297" s="113" t="s">
        <v>193</v>
      </c>
      <c r="H297" s="113" t="s">
        <v>194</v>
      </c>
      <c r="I297" s="114" t="s">
        <v>190</v>
      </c>
      <c r="J297" s="113"/>
    </row>
    <row r="298" spans="1:10" x14ac:dyDescent="0.3">
      <c r="A298" s="112" t="s">
        <v>189</v>
      </c>
      <c r="B298" s="113" t="s">
        <v>190</v>
      </c>
      <c r="C298" s="113" t="s">
        <v>651</v>
      </c>
      <c r="D298" s="113" t="s">
        <v>200</v>
      </c>
      <c r="E298" s="113" t="s">
        <v>192</v>
      </c>
      <c r="F298" s="113" t="s">
        <v>676</v>
      </c>
      <c r="G298" s="113" t="s">
        <v>193</v>
      </c>
      <c r="H298" s="113" t="s">
        <v>194</v>
      </c>
      <c r="I298" s="114" t="s">
        <v>190</v>
      </c>
      <c r="J298" s="113"/>
    </row>
    <row r="299" spans="1:10" x14ac:dyDescent="0.3">
      <c r="A299" s="112" t="s">
        <v>189</v>
      </c>
      <c r="B299" s="113" t="s">
        <v>190</v>
      </c>
      <c r="C299" s="113" t="s">
        <v>651</v>
      </c>
      <c r="D299" s="113" t="s">
        <v>200</v>
      </c>
      <c r="E299" s="113" t="s">
        <v>192</v>
      </c>
      <c r="F299" s="113" t="s">
        <v>677</v>
      </c>
      <c r="G299" s="113" t="s">
        <v>193</v>
      </c>
      <c r="H299" s="113" t="s">
        <v>194</v>
      </c>
      <c r="I299" s="114" t="s">
        <v>190</v>
      </c>
      <c r="J299" s="113"/>
    </row>
    <row r="300" spans="1:10" x14ac:dyDescent="0.3">
      <c r="A300" s="112" t="s">
        <v>189</v>
      </c>
      <c r="B300" s="113" t="s">
        <v>190</v>
      </c>
      <c r="C300" s="113" t="s">
        <v>651</v>
      </c>
      <c r="D300" s="113" t="s">
        <v>200</v>
      </c>
      <c r="E300" s="113" t="s">
        <v>192</v>
      </c>
      <c r="F300" s="113" t="s">
        <v>678</v>
      </c>
      <c r="G300" s="113" t="s">
        <v>193</v>
      </c>
      <c r="H300" s="113" t="s">
        <v>194</v>
      </c>
      <c r="I300" s="114" t="s">
        <v>190</v>
      </c>
      <c r="J300" s="113"/>
    </row>
    <row r="301" spans="1:10" x14ac:dyDescent="0.3">
      <c r="A301" s="112" t="s">
        <v>189</v>
      </c>
      <c r="B301" s="113" t="s">
        <v>190</v>
      </c>
      <c r="C301" s="113" t="s">
        <v>651</v>
      </c>
      <c r="D301" s="113" t="s">
        <v>200</v>
      </c>
      <c r="E301" s="113" t="s">
        <v>192</v>
      </c>
      <c r="F301" s="113" t="s">
        <v>645</v>
      </c>
      <c r="G301" s="113" t="s">
        <v>193</v>
      </c>
      <c r="H301" s="113" t="s">
        <v>194</v>
      </c>
      <c r="I301" s="114" t="s">
        <v>190</v>
      </c>
      <c r="J301" s="113"/>
    </row>
    <row r="302" spans="1:10" x14ac:dyDescent="0.3">
      <c r="A302" s="112" t="s">
        <v>189</v>
      </c>
      <c r="B302" s="113" t="s">
        <v>190</v>
      </c>
      <c r="C302" s="113" t="s">
        <v>651</v>
      </c>
      <c r="D302" s="113" t="s">
        <v>200</v>
      </c>
      <c r="E302" s="113" t="s">
        <v>192</v>
      </c>
      <c r="F302" s="113" t="s">
        <v>679</v>
      </c>
      <c r="G302" s="113" t="s">
        <v>193</v>
      </c>
      <c r="H302" s="113" t="s">
        <v>194</v>
      </c>
      <c r="I302" s="114" t="s">
        <v>190</v>
      </c>
      <c r="J302" s="113"/>
    </row>
    <row r="303" spans="1:10" ht="129.6" x14ac:dyDescent="0.3">
      <c r="A303" s="112" t="s">
        <v>189</v>
      </c>
      <c r="B303" s="113" t="s">
        <v>190</v>
      </c>
      <c r="C303" s="113" t="s">
        <v>680</v>
      </c>
      <c r="D303" s="113" t="s">
        <v>56</v>
      </c>
      <c r="E303" s="113" t="s">
        <v>192</v>
      </c>
      <c r="F303" s="113" t="s">
        <v>681</v>
      </c>
      <c r="G303" s="113" t="s">
        <v>193</v>
      </c>
      <c r="H303" s="113" t="s">
        <v>194</v>
      </c>
      <c r="I303" s="114" t="s">
        <v>682</v>
      </c>
      <c r="J303" s="113"/>
    </row>
    <row r="304" spans="1:10" ht="57.6" x14ac:dyDescent="0.3">
      <c r="A304" s="112" t="s">
        <v>189</v>
      </c>
      <c r="B304" s="113" t="s">
        <v>190</v>
      </c>
      <c r="C304" s="113" t="s">
        <v>683</v>
      </c>
      <c r="D304" s="113" t="s">
        <v>89</v>
      </c>
      <c r="E304" s="113" t="s">
        <v>192</v>
      </c>
      <c r="F304" s="113" t="s">
        <v>656</v>
      </c>
      <c r="G304" s="113" t="s">
        <v>193</v>
      </c>
      <c r="H304" s="113" t="s">
        <v>194</v>
      </c>
      <c r="I304" s="114" t="s">
        <v>684</v>
      </c>
      <c r="J304" s="113"/>
    </row>
    <row r="305" spans="1:10" ht="28.8" x14ac:dyDescent="0.3">
      <c r="A305" s="112" t="s">
        <v>264</v>
      </c>
      <c r="B305" s="113" t="s">
        <v>264</v>
      </c>
      <c r="C305" s="113" t="s">
        <v>685</v>
      </c>
      <c r="D305" s="113" t="s">
        <v>686</v>
      </c>
      <c r="E305" s="113" t="s">
        <v>192</v>
      </c>
      <c r="F305" s="113" t="s">
        <v>687</v>
      </c>
      <c r="G305" s="113" t="s">
        <v>193</v>
      </c>
      <c r="H305" s="113" t="s">
        <v>204</v>
      </c>
      <c r="I305" s="114" t="s">
        <v>688</v>
      </c>
      <c r="J305" s="113"/>
    </row>
    <row r="306" spans="1:10" ht="345.6" x14ac:dyDescent="0.3">
      <c r="A306" s="112" t="s">
        <v>189</v>
      </c>
      <c r="B306" s="113" t="s">
        <v>190</v>
      </c>
      <c r="C306" s="113" t="s">
        <v>685</v>
      </c>
      <c r="D306" s="113" t="s">
        <v>56</v>
      </c>
      <c r="E306" s="113" t="s">
        <v>192</v>
      </c>
      <c r="F306" s="113" t="s">
        <v>656</v>
      </c>
      <c r="G306" s="113" t="s">
        <v>193</v>
      </c>
      <c r="H306" s="113" t="s">
        <v>194</v>
      </c>
      <c r="I306" s="114" t="s">
        <v>689</v>
      </c>
      <c r="J306" s="113"/>
    </row>
    <row r="307" spans="1:10" ht="86.4" x14ac:dyDescent="0.3">
      <c r="A307" s="112" t="s">
        <v>189</v>
      </c>
      <c r="B307" s="113" t="s">
        <v>190</v>
      </c>
      <c r="C307" s="113" t="s">
        <v>690</v>
      </c>
      <c r="D307" s="113" t="s">
        <v>147</v>
      </c>
      <c r="E307" s="113" t="s">
        <v>192</v>
      </c>
      <c r="F307" s="113" t="s">
        <v>691</v>
      </c>
      <c r="G307" s="113" t="s">
        <v>193</v>
      </c>
      <c r="H307" s="113" t="s">
        <v>194</v>
      </c>
      <c r="I307" s="114" t="s">
        <v>692</v>
      </c>
      <c r="J307" s="113"/>
    </row>
    <row r="308" spans="1:10" ht="115.2" x14ac:dyDescent="0.3">
      <c r="A308" s="112" t="s">
        <v>189</v>
      </c>
      <c r="B308" s="113" t="s">
        <v>190</v>
      </c>
      <c r="C308" s="113" t="s">
        <v>690</v>
      </c>
      <c r="D308" s="113" t="s">
        <v>132</v>
      </c>
      <c r="E308" s="113" t="s">
        <v>192</v>
      </c>
      <c r="F308" s="113" t="s">
        <v>190</v>
      </c>
      <c r="G308" s="113" t="s">
        <v>193</v>
      </c>
      <c r="H308" s="113" t="s">
        <v>194</v>
      </c>
      <c r="I308" s="114" t="s">
        <v>693</v>
      </c>
      <c r="J308" s="113"/>
    </row>
    <row r="309" spans="1:10" ht="43.2" x14ac:dyDescent="0.3">
      <c r="A309" s="112" t="s">
        <v>69</v>
      </c>
      <c r="B309" s="113" t="s">
        <v>229</v>
      </c>
      <c r="C309" s="113" t="s">
        <v>694</v>
      </c>
      <c r="D309" s="113" t="s">
        <v>241</v>
      </c>
      <c r="E309" s="113" t="s">
        <v>192</v>
      </c>
      <c r="F309" s="113" t="s">
        <v>375</v>
      </c>
      <c r="G309" s="113" t="s">
        <v>193</v>
      </c>
      <c r="H309" s="113" t="s">
        <v>204</v>
      </c>
      <c r="I309" s="114" t="s">
        <v>695</v>
      </c>
      <c r="J309" s="113"/>
    </row>
    <row r="310" spans="1:10" x14ac:dyDescent="0.3">
      <c r="A310" s="112" t="s">
        <v>189</v>
      </c>
      <c r="B310" s="113" t="s">
        <v>190</v>
      </c>
      <c r="C310" s="113" t="s">
        <v>696</v>
      </c>
      <c r="D310" s="113" t="s">
        <v>120</v>
      </c>
      <c r="E310" s="113" t="s">
        <v>192</v>
      </c>
      <c r="F310" s="113" t="s">
        <v>697</v>
      </c>
      <c r="G310" s="113" t="s">
        <v>193</v>
      </c>
      <c r="H310" s="113" t="s">
        <v>201</v>
      </c>
      <c r="I310" s="114" t="s">
        <v>190</v>
      </c>
      <c r="J310" s="113"/>
    </row>
    <row r="311" spans="1:10" ht="144" x14ac:dyDescent="0.3">
      <c r="A311" s="112" t="s">
        <v>189</v>
      </c>
      <c r="B311" s="113" t="s">
        <v>698</v>
      </c>
      <c r="C311" s="113" t="s">
        <v>696</v>
      </c>
      <c r="D311" s="113" t="s">
        <v>209</v>
      </c>
      <c r="E311" s="113" t="s">
        <v>192</v>
      </c>
      <c r="F311" s="113" t="s">
        <v>699</v>
      </c>
      <c r="G311" s="113" t="s">
        <v>193</v>
      </c>
      <c r="H311" s="113" t="s">
        <v>201</v>
      </c>
      <c r="I311" s="114" t="s">
        <v>700</v>
      </c>
      <c r="J311" s="113"/>
    </row>
    <row r="312" spans="1:10" ht="244.8" x14ac:dyDescent="0.3">
      <c r="A312" s="112" t="s">
        <v>189</v>
      </c>
      <c r="B312" s="113" t="s">
        <v>229</v>
      </c>
      <c r="C312" s="113" t="s">
        <v>701</v>
      </c>
      <c r="D312" s="113" t="s">
        <v>241</v>
      </c>
      <c r="E312" s="113" t="s">
        <v>192</v>
      </c>
      <c r="F312" s="113" t="s">
        <v>702</v>
      </c>
      <c r="G312" s="113" t="s">
        <v>193</v>
      </c>
      <c r="H312" s="113" t="s">
        <v>194</v>
      </c>
      <c r="I312" s="114" t="s">
        <v>703</v>
      </c>
      <c r="J312" s="113"/>
    </row>
    <row r="313" spans="1:10" ht="43.2" x14ac:dyDescent="0.3">
      <c r="A313" s="112" t="s">
        <v>189</v>
      </c>
      <c r="B313" s="113" t="s">
        <v>190</v>
      </c>
      <c r="C313" s="113" t="s">
        <v>704</v>
      </c>
      <c r="D313" s="113" t="s">
        <v>56</v>
      </c>
      <c r="E313" s="113" t="s">
        <v>192</v>
      </c>
      <c r="F313" s="113" t="s">
        <v>705</v>
      </c>
      <c r="G313" s="113" t="s">
        <v>193</v>
      </c>
      <c r="H313" s="113" t="s">
        <v>194</v>
      </c>
      <c r="I313" s="114" t="s">
        <v>706</v>
      </c>
      <c r="J313" s="113"/>
    </row>
    <row r="314" spans="1:10" x14ac:dyDescent="0.3">
      <c r="A314" s="112" t="s">
        <v>189</v>
      </c>
      <c r="B314" s="113" t="s">
        <v>190</v>
      </c>
      <c r="C314" s="113" t="s">
        <v>704</v>
      </c>
      <c r="D314" s="113" t="s">
        <v>120</v>
      </c>
      <c r="E314" s="113" t="s">
        <v>192</v>
      </c>
      <c r="F314" s="113" t="s">
        <v>707</v>
      </c>
      <c r="G314" s="113" t="s">
        <v>193</v>
      </c>
      <c r="H314" s="113" t="s">
        <v>201</v>
      </c>
      <c r="I314" s="114" t="s">
        <v>190</v>
      </c>
      <c r="J314" s="113"/>
    </row>
    <row r="315" spans="1:10" x14ac:dyDescent="0.3">
      <c r="A315" s="112" t="s">
        <v>189</v>
      </c>
      <c r="B315" s="113" t="s">
        <v>190</v>
      </c>
      <c r="C315" s="113" t="s">
        <v>708</v>
      </c>
      <c r="D315" s="113" t="s">
        <v>209</v>
      </c>
      <c r="E315" s="113" t="s">
        <v>192</v>
      </c>
      <c r="F315" s="113" t="s">
        <v>709</v>
      </c>
      <c r="G315" s="113" t="s">
        <v>193</v>
      </c>
      <c r="H315" s="113" t="s">
        <v>201</v>
      </c>
      <c r="I315" s="114" t="s">
        <v>190</v>
      </c>
      <c r="J315" s="113"/>
    </row>
    <row r="316" spans="1:10" ht="72" x14ac:dyDescent="0.3">
      <c r="A316" s="112" t="s">
        <v>189</v>
      </c>
      <c r="B316" s="113" t="s">
        <v>698</v>
      </c>
      <c r="C316" s="113" t="s">
        <v>710</v>
      </c>
      <c r="D316" s="113" t="s">
        <v>686</v>
      </c>
      <c r="E316" s="113" t="s">
        <v>192</v>
      </c>
      <c r="F316" s="113" t="s">
        <v>702</v>
      </c>
      <c r="G316" s="113" t="s">
        <v>193</v>
      </c>
      <c r="H316" s="113" t="s">
        <v>194</v>
      </c>
      <c r="I316" s="114" t="s">
        <v>711</v>
      </c>
      <c r="J316" s="113"/>
    </row>
    <row r="317" spans="1:10" ht="86.4" x14ac:dyDescent="0.3">
      <c r="A317" s="112" t="s">
        <v>189</v>
      </c>
      <c r="B317" s="113" t="s">
        <v>229</v>
      </c>
      <c r="C317" s="113" t="s">
        <v>710</v>
      </c>
      <c r="D317" s="113" t="s">
        <v>160</v>
      </c>
      <c r="E317" s="113" t="s">
        <v>192</v>
      </c>
      <c r="F317" s="113" t="s">
        <v>705</v>
      </c>
      <c r="G317" s="113" t="s">
        <v>193</v>
      </c>
      <c r="H317" s="113" t="s">
        <v>194</v>
      </c>
      <c r="I317" s="114" t="s">
        <v>712</v>
      </c>
      <c r="J317" s="113"/>
    </row>
    <row r="318" spans="1:10" x14ac:dyDescent="0.3">
      <c r="A318" s="112" t="s">
        <v>69</v>
      </c>
      <c r="B318" s="113" t="s">
        <v>229</v>
      </c>
      <c r="C318" s="113" t="s">
        <v>710</v>
      </c>
      <c r="D318" s="113" t="s">
        <v>241</v>
      </c>
      <c r="E318" s="113" t="s">
        <v>192</v>
      </c>
      <c r="F318" s="113" t="s">
        <v>713</v>
      </c>
      <c r="G318" s="113" t="s">
        <v>193</v>
      </c>
      <c r="H318" s="113" t="s">
        <v>201</v>
      </c>
      <c r="I318" s="114" t="s">
        <v>190</v>
      </c>
      <c r="J318" s="113"/>
    </row>
    <row r="319" spans="1:10" ht="86.4" x14ac:dyDescent="0.3">
      <c r="A319" s="112" t="s">
        <v>189</v>
      </c>
      <c r="B319" s="113" t="s">
        <v>190</v>
      </c>
      <c r="C319" s="113" t="s">
        <v>714</v>
      </c>
      <c r="D319" s="113" t="s">
        <v>120</v>
      </c>
      <c r="E319" s="113" t="s">
        <v>192</v>
      </c>
      <c r="F319" s="113" t="s">
        <v>715</v>
      </c>
      <c r="G319" s="113" t="s">
        <v>193</v>
      </c>
      <c r="H319" s="113" t="s">
        <v>201</v>
      </c>
      <c r="I319" s="114" t="s">
        <v>716</v>
      </c>
      <c r="J319" s="113"/>
    </row>
    <row r="320" spans="1:10" ht="86.4" x14ac:dyDescent="0.3">
      <c r="A320" s="112" t="s">
        <v>264</v>
      </c>
      <c r="B320" s="113" t="s">
        <v>264</v>
      </c>
      <c r="C320" s="113" t="s">
        <v>714</v>
      </c>
      <c r="D320" s="113" t="s">
        <v>154</v>
      </c>
      <c r="E320" s="113" t="s">
        <v>192</v>
      </c>
      <c r="F320" s="113" t="s">
        <v>364</v>
      </c>
      <c r="G320" s="113" t="s">
        <v>193</v>
      </c>
      <c r="H320" s="113" t="s">
        <v>201</v>
      </c>
      <c r="I320" s="114" t="s">
        <v>717</v>
      </c>
      <c r="J320" s="113"/>
    </row>
    <row r="321" spans="1:10" x14ac:dyDescent="0.3">
      <c r="A321" s="112" t="s">
        <v>264</v>
      </c>
      <c r="B321" s="113" t="s">
        <v>264</v>
      </c>
      <c r="C321" s="113" t="s">
        <v>714</v>
      </c>
      <c r="D321" s="113" t="s">
        <v>80</v>
      </c>
      <c r="E321" s="113" t="s">
        <v>192</v>
      </c>
      <c r="F321" s="113" t="s">
        <v>364</v>
      </c>
      <c r="G321" s="113" t="s">
        <v>193</v>
      </c>
      <c r="H321" s="113" t="s">
        <v>201</v>
      </c>
      <c r="I321" s="114" t="s">
        <v>190</v>
      </c>
      <c r="J321" s="113"/>
    </row>
    <row r="322" spans="1:10" x14ac:dyDescent="0.3">
      <c r="A322" s="112" t="s">
        <v>264</v>
      </c>
      <c r="B322" s="113" t="s">
        <v>264</v>
      </c>
      <c r="C322" s="113" t="s">
        <v>718</v>
      </c>
      <c r="D322" s="113" t="s">
        <v>89</v>
      </c>
      <c r="E322" s="113" t="s">
        <v>192</v>
      </c>
      <c r="F322" s="113" t="s">
        <v>719</v>
      </c>
      <c r="G322" s="113" t="s">
        <v>193</v>
      </c>
      <c r="H322" s="113" t="s">
        <v>201</v>
      </c>
      <c r="I322" s="114" t="s">
        <v>190</v>
      </c>
      <c r="J322" s="113"/>
    </row>
    <row r="323" spans="1:10" ht="259.2" x14ac:dyDescent="0.3">
      <c r="A323" s="112" t="s">
        <v>189</v>
      </c>
      <c r="B323" s="113" t="s">
        <v>229</v>
      </c>
      <c r="C323" s="113" t="s">
        <v>718</v>
      </c>
      <c r="D323" s="113" t="s">
        <v>501</v>
      </c>
      <c r="E323" s="113" t="s">
        <v>192</v>
      </c>
      <c r="F323" s="113" t="s">
        <v>720</v>
      </c>
      <c r="G323" s="113" t="s">
        <v>193</v>
      </c>
      <c r="H323" s="113" t="s">
        <v>194</v>
      </c>
      <c r="I323" s="114" t="s">
        <v>721</v>
      </c>
      <c r="J323" s="113"/>
    </row>
    <row r="324" spans="1:10" ht="100.8" x14ac:dyDescent="0.3">
      <c r="A324" s="112" t="s">
        <v>264</v>
      </c>
      <c r="B324" s="113" t="s">
        <v>264</v>
      </c>
      <c r="C324" s="113" t="s">
        <v>722</v>
      </c>
      <c r="D324" s="113" t="s">
        <v>56</v>
      </c>
      <c r="E324" s="113" t="s">
        <v>192</v>
      </c>
      <c r="F324" s="113" t="s">
        <v>713</v>
      </c>
      <c r="G324" s="113" t="s">
        <v>193</v>
      </c>
      <c r="H324" s="113" t="s">
        <v>201</v>
      </c>
      <c r="I324" s="114" t="s">
        <v>723</v>
      </c>
      <c r="J324" s="113"/>
    </row>
    <row r="325" spans="1:10" ht="158.4" x14ac:dyDescent="0.3">
      <c r="A325" s="112" t="s">
        <v>189</v>
      </c>
      <c r="B325" s="113" t="s">
        <v>190</v>
      </c>
      <c r="C325" s="113" t="s">
        <v>722</v>
      </c>
      <c r="D325" s="113" t="s">
        <v>120</v>
      </c>
      <c r="E325" s="113" t="s">
        <v>192</v>
      </c>
      <c r="F325" s="113" t="s">
        <v>724</v>
      </c>
      <c r="G325" s="113" t="s">
        <v>193</v>
      </c>
      <c r="H325" s="113" t="s">
        <v>201</v>
      </c>
      <c r="I325" s="114" t="s">
        <v>725</v>
      </c>
      <c r="J325" s="113"/>
    </row>
    <row r="326" spans="1:10" ht="172.8" x14ac:dyDescent="0.3">
      <c r="A326" s="112" t="s">
        <v>264</v>
      </c>
      <c r="B326" s="113" t="s">
        <v>264</v>
      </c>
      <c r="C326" s="113" t="s">
        <v>726</v>
      </c>
      <c r="D326" s="113" t="s">
        <v>633</v>
      </c>
      <c r="E326" s="113" t="s">
        <v>192</v>
      </c>
      <c r="F326" s="113" t="s">
        <v>727</v>
      </c>
      <c r="G326" s="113" t="s">
        <v>193</v>
      </c>
      <c r="H326" s="113" t="s">
        <v>201</v>
      </c>
      <c r="I326" s="114" t="s">
        <v>728</v>
      </c>
      <c r="J326" s="113"/>
    </row>
    <row r="327" spans="1:10" x14ac:dyDescent="0.3">
      <c r="A327" s="112" t="s">
        <v>189</v>
      </c>
      <c r="B327" s="113" t="s">
        <v>190</v>
      </c>
      <c r="C327" s="113" t="s">
        <v>729</v>
      </c>
      <c r="D327" s="113" t="s">
        <v>120</v>
      </c>
      <c r="E327" s="113" t="s">
        <v>192</v>
      </c>
      <c r="F327" s="113" t="s">
        <v>730</v>
      </c>
      <c r="G327" s="113" t="s">
        <v>193</v>
      </c>
      <c r="H327" s="113" t="s">
        <v>201</v>
      </c>
      <c r="I327" s="114" t="s">
        <v>190</v>
      </c>
      <c r="J327" s="113"/>
    </row>
    <row r="328" spans="1:10" x14ac:dyDescent="0.3">
      <c r="A328" s="112" t="s">
        <v>69</v>
      </c>
      <c r="B328" s="113" t="s">
        <v>229</v>
      </c>
      <c r="C328" s="113" t="s">
        <v>729</v>
      </c>
      <c r="D328" s="113" t="s">
        <v>120</v>
      </c>
      <c r="E328" s="113" t="s">
        <v>192</v>
      </c>
      <c r="F328" s="113" t="s">
        <v>731</v>
      </c>
      <c r="G328" s="113" t="s">
        <v>193</v>
      </c>
      <c r="H328" s="113" t="s">
        <v>201</v>
      </c>
      <c r="I328" s="114" t="s">
        <v>190</v>
      </c>
      <c r="J328" s="113"/>
    </row>
    <row r="329" spans="1:10" ht="72" x14ac:dyDescent="0.3">
      <c r="A329" s="112" t="s">
        <v>189</v>
      </c>
      <c r="B329" s="113" t="s">
        <v>698</v>
      </c>
      <c r="C329" s="113" t="s">
        <v>732</v>
      </c>
      <c r="D329" s="113" t="s">
        <v>154</v>
      </c>
      <c r="E329" s="113" t="s">
        <v>192</v>
      </c>
      <c r="F329" s="113" t="s">
        <v>733</v>
      </c>
      <c r="G329" s="113" t="s">
        <v>193</v>
      </c>
      <c r="H329" s="113" t="s">
        <v>204</v>
      </c>
      <c r="I329" s="114" t="s">
        <v>734</v>
      </c>
      <c r="J329" s="113"/>
    </row>
    <row r="330" spans="1:10" ht="86.4" x14ac:dyDescent="0.3">
      <c r="A330" s="112" t="s">
        <v>189</v>
      </c>
      <c r="B330" s="113" t="s">
        <v>698</v>
      </c>
      <c r="C330" s="113" t="s">
        <v>732</v>
      </c>
      <c r="D330" s="113" t="s">
        <v>80</v>
      </c>
      <c r="E330" s="113" t="s">
        <v>192</v>
      </c>
      <c r="F330" s="113" t="s">
        <v>733</v>
      </c>
      <c r="G330" s="113" t="s">
        <v>193</v>
      </c>
      <c r="H330" s="113" t="s">
        <v>204</v>
      </c>
      <c r="I330" s="114" t="s">
        <v>735</v>
      </c>
      <c r="J330" s="113"/>
    </row>
    <row r="331" spans="1:10" ht="86.4" x14ac:dyDescent="0.3">
      <c r="A331" s="112" t="s">
        <v>189</v>
      </c>
      <c r="B331" s="113" t="s">
        <v>190</v>
      </c>
      <c r="C331" s="113" t="s">
        <v>736</v>
      </c>
      <c r="D331" s="113" t="s">
        <v>120</v>
      </c>
      <c r="E331" s="113" t="s">
        <v>192</v>
      </c>
      <c r="F331" s="113" t="s">
        <v>737</v>
      </c>
      <c r="G331" s="113" t="s">
        <v>193</v>
      </c>
      <c r="H331" s="113" t="s">
        <v>194</v>
      </c>
      <c r="I331" s="114" t="s">
        <v>738</v>
      </c>
      <c r="J331" s="113"/>
    </row>
    <row r="332" spans="1:10" ht="28.8" x14ac:dyDescent="0.3">
      <c r="A332" s="112" t="s">
        <v>189</v>
      </c>
      <c r="B332" s="113" t="s">
        <v>190</v>
      </c>
      <c r="C332" s="113" t="s">
        <v>739</v>
      </c>
      <c r="D332" s="113" t="s">
        <v>56</v>
      </c>
      <c r="E332" s="113" t="s">
        <v>192</v>
      </c>
      <c r="F332" s="113" t="s">
        <v>740</v>
      </c>
      <c r="G332" s="113" t="s">
        <v>193</v>
      </c>
      <c r="H332" s="113" t="s">
        <v>204</v>
      </c>
      <c r="I332" s="114" t="s">
        <v>741</v>
      </c>
      <c r="J332" s="113"/>
    </row>
    <row r="333" spans="1:10" ht="72" x14ac:dyDescent="0.3">
      <c r="A333" s="112" t="s">
        <v>189</v>
      </c>
      <c r="B333" s="113" t="s">
        <v>190</v>
      </c>
      <c r="C333" s="113" t="s">
        <v>742</v>
      </c>
      <c r="D333" s="113" t="s">
        <v>56</v>
      </c>
      <c r="E333" s="113" t="s">
        <v>192</v>
      </c>
      <c r="F333" s="113" t="s">
        <v>743</v>
      </c>
      <c r="G333" s="113" t="s">
        <v>193</v>
      </c>
      <c r="H333" s="113" t="s">
        <v>204</v>
      </c>
      <c r="I333" s="114" t="s">
        <v>744</v>
      </c>
      <c r="J333" s="113"/>
    </row>
    <row r="334" spans="1:10" ht="115.2" x14ac:dyDescent="0.3">
      <c r="A334" s="112" t="s">
        <v>189</v>
      </c>
      <c r="B334" s="113" t="s">
        <v>190</v>
      </c>
      <c r="C334" s="113" t="s">
        <v>745</v>
      </c>
      <c r="D334" s="113" t="s">
        <v>120</v>
      </c>
      <c r="E334" s="113" t="s">
        <v>192</v>
      </c>
      <c r="F334" s="113" t="s">
        <v>746</v>
      </c>
      <c r="G334" s="113" t="s">
        <v>193</v>
      </c>
      <c r="H334" s="113" t="s">
        <v>204</v>
      </c>
      <c r="I334" s="114" t="s">
        <v>747</v>
      </c>
      <c r="J334" s="113"/>
    </row>
    <row r="335" spans="1:10" ht="158.4" x14ac:dyDescent="0.3">
      <c r="A335" s="112" t="s">
        <v>264</v>
      </c>
      <c r="B335" s="113" t="s">
        <v>264</v>
      </c>
      <c r="C335" s="113" t="s">
        <v>748</v>
      </c>
      <c r="D335" s="113" t="s">
        <v>132</v>
      </c>
      <c r="E335" s="113" t="s">
        <v>192</v>
      </c>
      <c r="F335" s="113" t="s">
        <v>749</v>
      </c>
      <c r="G335" s="113" t="s">
        <v>193</v>
      </c>
      <c r="H335" s="113" t="s">
        <v>204</v>
      </c>
      <c r="I335" s="114" t="s">
        <v>750</v>
      </c>
      <c r="J335" s="113"/>
    </row>
    <row r="336" spans="1:10" ht="86.4" x14ac:dyDescent="0.3">
      <c r="A336" s="112" t="s">
        <v>189</v>
      </c>
      <c r="B336" s="113" t="s">
        <v>190</v>
      </c>
      <c r="C336" s="113" t="s">
        <v>751</v>
      </c>
      <c r="D336" s="113" t="s">
        <v>120</v>
      </c>
      <c r="E336" s="113" t="s">
        <v>192</v>
      </c>
      <c r="F336" s="113" t="s">
        <v>606</v>
      </c>
      <c r="G336" s="113" t="s">
        <v>193</v>
      </c>
      <c r="H336" s="113" t="s">
        <v>201</v>
      </c>
      <c r="I336" s="114" t="s">
        <v>752</v>
      </c>
      <c r="J336" s="113"/>
    </row>
    <row r="337" spans="1:10" ht="115.2" x14ac:dyDescent="0.3">
      <c r="A337" s="112" t="s">
        <v>189</v>
      </c>
      <c r="B337" s="113" t="s">
        <v>190</v>
      </c>
      <c r="C337" s="113" t="s">
        <v>753</v>
      </c>
      <c r="D337" s="113" t="s">
        <v>14</v>
      </c>
      <c r="E337" s="113" t="s">
        <v>192</v>
      </c>
      <c r="F337" s="113" t="s">
        <v>754</v>
      </c>
      <c r="G337" s="113" t="s">
        <v>193</v>
      </c>
      <c r="H337" s="113" t="s">
        <v>194</v>
      </c>
      <c r="I337" s="114" t="s">
        <v>755</v>
      </c>
      <c r="J337" s="113"/>
    </row>
    <row r="338" spans="1:10" ht="144" x14ac:dyDescent="0.3">
      <c r="A338" s="112" t="s">
        <v>189</v>
      </c>
      <c r="B338" s="113" t="s">
        <v>229</v>
      </c>
      <c r="C338" s="113" t="s">
        <v>753</v>
      </c>
      <c r="D338" s="113" t="s">
        <v>56</v>
      </c>
      <c r="E338" s="113" t="s">
        <v>192</v>
      </c>
      <c r="F338" s="113" t="s">
        <v>756</v>
      </c>
      <c r="G338" s="113" t="s">
        <v>193</v>
      </c>
      <c r="H338" s="113" t="s">
        <v>194</v>
      </c>
      <c r="I338" s="114" t="s">
        <v>757</v>
      </c>
      <c r="J338" s="113"/>
    </row>
    <row r="339" spans="1:10" ht="158.4" x14ac:dyDescent="0.3">
      <c r="A339" s="112" t="s">
        <v>189</v>
      </c>
      <c r="B339" s="113" t="s">
        <v>190</v>
      </c>
      <c r="C339" s="113" t="s">
        <v>753</v>
      </c>
      <c r="D339" s="113" t="s">
        <v>120</v>
      </c>
      <c r="E339" s="113" t="s">
        <v>192</v>
      </c>
      <c r="F339" s="113" t="s">
        <v>758</v>
      </c>
      <c r="G339" s="113" t="s">
        <v>248</v>
      </c>
      <c r="H339" s="113" t="s">
        <v>201</v>
      </c>
      <c r="I339" s="114" t="s">
        <v>759</v>
      </c>
      <c r="J339" s="113"/>
    </row>
    <row r="340" spans="1:10" ht="115.2" x14ac:dyDescent="0.3">
      <c r="A340" s="112" t="s">
        <v>189</v>
      </c>
      <c r="B340" s="113" t="s">
        <v>698</v>
      </c>
      <c r="C340" s="113" t="s">
        <v>753</v>
      </c>
      <c r="D340" s="113" t="s">
        <v>56</v>
      </c>
      <c r="E340" s="113" t="s">
        <v>192</v>
      </c>
      <c r="F340" s="113" t="s">
        <v>702</v>
      </c>
      <c r="G340" s="113" t="s">
        <v>193</v>
      </c>
      <c r="H340" s="113" t="s">
        <v>194</v>
      </c>
      <c r="I340" s="114" t="s">
        <v>760</v>
      </c>
      <c r="J340" s="113"/>
    </row>
    <row r="341" spans="1:10" ht="28.8" x14ac:dyDescent="0.3">
      <c r="A341" s="112" t="s">
        <v>189</v>
      </c>
      <c r="B341" s="113" t="s">
        <v>190</v>
      </c>
      <c r="C341" s="113" t="s">
        <v>761</v>
      </c>
      <c r="D341" s="113" t="s">
        <v>120</v>
      </c>
      <c r="E341" s="113" t="s">
        <v>192</v>
      </c>
      <c r="F341" s="113" t="s">
        <v>514</v>
      </c>
      <c r="G341" s="113" t="s">
        <v>193</v>
      </c>
      <c r="H341" s="113" t="s">
        <v>201</v>
      </c>
      <c r="I341" s="114" t="s">
        <v>202</v>
      </c>
      <c r="J341" s="113"/>
    </row>
    <row r="342" spans="1:10" x14ac:dyDescent="0.3">
      <c r="A342" s="112" t="s">
        <v>264</v>
      </c>
      <c r="B342" s="113" t="s">
        <v>264</v>
      </c>
      <c r="C342" s="113" t="s">
        <v>761</v>
      </c>
      <c r="D342" s="113" t="s">
        <v>633</v>
      </c>
      <c r="E342" s="113" t="s">
        <v>192</v>
      </c>
      <c r="F342" s="113" t="s">
        <v>514</v>
      </c>
      <c r="G342" s="113" t="s">
        <v>193</v>
      </c>
      <c r="H342" s="113" t="s">
        <v>201</v>
      </c>
      <c r="I342" s="114" t="s">
        <v>190</v>
      </c>
      <c r="J342" s="113"/>
    </row>
    <row r="343" spans="1:10" ht="86.4" x14ac:dyDescent="0.3">
      <c r="A343" s="112" t="s">
        <v>189</v>
      </c>
      <c r="B343" s="113" t="s">
        <v>232</v>
      </c>
      <c r="C343" s="113" t="s">
        <v>762</v>
      </c>
      <c r="D343" s="113" t="s">
        <v>763</v>
      </c>
      <c r="E343" s="113" t="s">
        <v>192</v>
      </c>
      <c r="F343" s="113" t="s">
        <v>764</v>
      </c>
      <c r="G343" s="113" t="s">
        <v>193</v>
      </c>
      <c r="H343" s="113" t="s">
        <v>194</v>
      </c>
      <c r="I343" s="114" t="s">
        <v>765</v>
      </c>
      <c r="J343" s="113"/>
    </row>
    <row r="344" spans="1:10" ht="72" x14ac:dyDescent="0.3">
      <c r="A344" s="112" t="s">
        <v>189</v>
      </c>
      <c r="B344" s="113" t="s">
        <v>229</v>
      </c>
      <c r="C344" s="113" t="s">
        <v>766</v>
      </c>
      <c r="D344" s="113" t="s">
        <v>120</v>
      </c>
      <c r="E344" s="113" t="s">
        <v>192</v>
      </c>
      <c r="F344" s="113" t="s">
        <v>767</v>
      </c>
      <c r="G344" s="113" t="s">
        <v>193</v>
      </c>
      <c r="H344" s="113" t="s">
        <v>194</v>
      </c>
      <c r="I344" s="114" t="s">
        <v>768</v>
      </c>
      <c r="J344" s="113"/>
    </row>
    <row r="345" spans="1:10" ht="129.6" x14ac:dyDescent="0.3">
      <c r="A345" s="112" t="s">
        <v>189</v>
      </c>
      <c r="B345" s="113" t="s">
        <v>232</v>
      </c>
      <c r="C345" s="113" t="s">
        <v>766</v>
      </c>
      <c r="D345" s="113" t="s">
        <v>769</v>
      </c>
      <c r="E345" s="113" t="s">
        <v>192</v>
      </c>
      <c r="F345" s="113" t="s">
        <v>767</v>
      </c>
      <c r="G345" s="113" t="s">
        <v>193</v>
      </c>
      <c r="H345" s="113" t="s">
        <v>194</v>
      </c>
      <c r="I345" s="114" t="s">
        <v>770</v>
      </c>
      <c r="J345" s="113"/>
    </row>
    <row r="346" spans="1:10" ht="316.8" x14ac:dyDescent="0.3">
      <c r="A346" s="112" t="s">
        <v>189</v>
      </c>
      <c r="B346" s="113" t="s">
        <v>190</v>
      </c>
      <c r="C346" s="113" t="s">
        <v>771</v>
      </c>
      <c r="D346" s="113" t="s">
        <v>120</v>
      </c>
      <c r="E346" s="113" t="s">
        <v>192</v>
      </c>
      <c r="F346" s="113" t="s">
        <v>772</v>
      </c>
      <c r="G346" s="113" t="s">
        <v>193</v>
      </c>
      <c r="H346" s="113" t="s">
        <v>194</v>
      </c>
      <c r="I346" s="114" t="s">
        <v>773</v>
      </c>
      <c r="J346" s="113"/>
    </row>
    <row r="347" spans="1:10" ht="129.6" x14ac:dyDescent="0.3">
      <c r="A347" s="112" t="s">
        <v>264</v>
      </c>
      <c r="B347" s="113" t="s">
        <v>264</v>
      </c>
      <c r="C347" s="113" t="s">
        <v>774</v>
      </c>
      <c r="D347" s="113" t="s">
        <v>147</v>
      </c>
      <c r="E347" s="113" t="s">
        <v>192</v>
      </c>
      <c r="F347" s="113" t="s">
        <v>775</v>
      </c>
      <c r="G347" s="113" t="s">
        <v>193</v>
      </c>
      <c r="H347" s="113" t="s">
        <v>201</v>
      </c>
      <c r="I347" s="114" t="s">
        <v>776</v>
      </c>
      <c r="J347" s="113"/>
    </row>
    <row r="348" spans="1:10" x14ac:dyDescent="0.3">
      <c r="A348" s="112" t="s">
        <v>264</v>
      </c>
      <c r="B348" s="113" t="s">
        <v>264</v>
      </c>
      <c r="C348" s="113" t="s">
        <v>777</v>
      </c>
      <c r="D348" s="113" t="s">
        <v>56</v>
      </c>
      <c r="E348" s="113" t="s">
        <v>192</v>
      </c>
      <c r="F348" s="113" t="s">
        <v>778</v>
      </c>
      <c r="G348" s="113" t="s">
        <v>193</v>
      </c>
      <c r="H348" s="113" t="s">
        <v>201</v>
      </c>
      <c r="I348" s="114" t="s">
        <v>190</v>
      </c>
      <c r="J348" s="113"/>
    </row>
    <row r="349" spans="1:10" x14ac:dyDescent="0.3">
      <c r="A349" s="112" t="s">
        <v>264</v>
      </c>
      <c r="B349" s="113" t="s">
        <v>264</v>
      </c>
      <c r="C349" s="113" t="s">
        <v>779</v>
      </c>
      <c r="D349" s="113" t="s">
        <v>160</v>
      </c>
      <c r="E349" s="113" t="s">
        <v>192</v>
      </c>
      <c r="F349" s="113" t="s">
        <v>780</v>
      </c>
      <c r="G349" s="113" t="s">
        <v>193</v>
      </c>
      <c r="H349" s="113" t="s">
        <v>201</v>
      </c>
      <c r="I349" s="114" t="s">
        <v>190</v>
      </c>
      <c r="J349" s="113"/>
    </row>
    <row r="350" spans="1:10" x14ac:dyDescent="0.3">
      <c r="A350" s="112" t="s">
        <v>264</v>
      </c>
      <c r="B350" s="113" t="s">
        <v>264</v>
      </c>
      <c r="C350" s="113" t="s">
        <v>781</v>
      </c>
      <c r="D350" s="113" t="s">
        <v>56</v>
      </c>
      <c r="E350" s="113" t="s">
        <v>192</v>
      </c>
      <c r="F350" s="113" t="s">
        <v>782</v>
      </c>
      <c r="G350" s="113" t="s">
        <v>193</v>
      </c>
      <c r="H350" s="113" t="s">
        <v>201</v>
      </c>
      <c r="I350" s="114" t="s">
        <v>190</v>
      </c>
      <c r="J350" s="113"/>
    </row>
    <row r="351" spans="1:10" ht="244.8" x14ac:dyDescent="0.3">
      <c r="A351" s="112" t="s">
        <v>189</v>
      </c>
      <c r="B351" s="113" t="s">
        <v>190</v>
      </c>
      <c r="C351" s="113" t="s">
        <v>783</v>
      </c>
      <c r="D351" s="113" t="s">
        <v>56</v>
      </c>
      <c r="E351" s="113" t="s">
        <v>192</v>
      </c>
      <c r="F351" s="113" t="s">
        <v>784</v>
      </c>
      <c r="G351" s="113" t="s">
        <v>596</v>
      </c>
      <c r="H351" s="113" t="s">
        <v>194</v>
      </c>
      <c r="I351" s="114" t="s">
        <v>785</v>
      </c>
      <c r="J351" s="113"/>
    </row>
    <row r="352" spans="1:10" ht="86.4" x14ac:dyDescent="0.3">
      <c r="A352" s="112" t="s">
        <v>264</v>
      </c>
      <c r="B352" s="113" t="s">
        <v>264</v>
      </c>
      <c r="C352" s="113" t="s">
        <v>783</v>
      </c>
      <c r="D352" s="113" t="s">
        <v>56</v>
      </c>
      <c r="E352" s="113" t="s">
        <v>192</v>
      </c>
      <c r="F352" s="113" t="s">
        <v>786</v>
      </c>
      <c r="G352" s="113" t="s">
        <v>193</v>
      </c>
      <c r="H352" s="113" t="s">
        <v>204</v>
      </c>
      <c r="I352" s="114" t="s">
        <v>787</v>
      </c>
      <c r="J352" s="113"/>
    </row>
    <row r="353" spans="1:10" ht="72" x14ac:dyDescent="0.3">
      <c r="A353" s="112" t="s">
        <v>264</v>
      </c>
      <c r="B353" s="113" t="s">
        <v>264</v>
      </c>
      <c r="C353" s="113" t="s">
        <v>783</v>
      </c>
      <c r="D353" s="113" t="s">
        <v>160</v>
      </c>
      <c r="E353" s="113" t="s">
        <v>192</v>
      </c>
      <c r="F353" s="113" t="s">
        <v>788</v>
      </c>
      <c r="G353" s="113" t="s">
        <v>193</v>
      </c>
      <c r="H353" s="113" t="s">
        <v>204</v>
      </c>
      <c r="I353" s="114" t="s">
        <v>789</v>
      </c>
      <c r="J353" s="113"/>
    </row>
    <row r="354" spans="1:10" ht="100.8" x14ac:dyDescent="0.3">
      <c r="A354" s="112" t="s">
        <v>189</v>
      </c>
      <c r="B354" s="113" t="s">
        <v>190</v>
      </c>
      <c r="C354" s="113" t="s">
        <v>783</v>
      </c>
      <c r="D354" s="113" t="s">
        <v>209</v>
      </c>
      <c r="E354" s="113" t="s">
        <v>192</v>
      </c>
      <c r="F354" s="113" t="s">
        <v>790</v>
      </c>
      <c r="G354" s="113" t="s">
        <v>193</v>
      </c>
      <c r="H354" s="113" t="s">
        <v>194</v>
      </c>
      <c r="I354" s="114" t="s">
        <v>791</v>
      </c>
      <c r="J354" s="113"/>
    </row>
    <row r="355" spans="1:10" ht="72" x14ac:dyDescent="0.3">
      <c r="A355" s="112" t="s">
        <v>189</v>
      </c>
      <c r="B355" s="113" t="s">
        <v>190</v>
      </c>
      <c r="C355" s="113" t="s">
        <v>792</v>
      </c>
      <c r="D355" s="113" t="s">
        <v>120</v>
      </c>
      <c r="E355" s="113" t="s">
        <v>192</v>
      </c>
      <c r="F355" s="113" t="s">
        <v>793</v>
      </c>
      <c r="G355" s="113" t="s">
        <v>193</v>
      </c>
      <c r="H355" s="113" t="s">
        <v>194</v>
      </c>
      <c r="I355" s="114" t="s">
        <v>794</v>
      </c>
      <c r="J355" s="113"/>
    </row>
    <row r="356" spans="1:10" ht="72" x14ac:dyDescent="0.3">
      <c r="A356" s="112" t="s">
        <v>189</v>
      </c>
      <c r="B356" s="113" t="s">
        <v>190</v>
      </c>
      <c r="C356" s="113" t="s">
        <v>792</v>
      </c>
      <c r="D356" s="113" t="s">
        <v>56</v>
      </c>
      <c r="E356" s="113" t="s">
        <v>192</v>
      </c>
      <c r="F356" s="113" t="s">
        <v>795</v>
      </c>
      <c r="G356" s="113" t="s">
        <v>193</v>
      </c>
      <c r="H356" s="113" t="s">
        <v>194</v>
      </c>
      <c r="I356" s="114" t="s">
        <v>796</v>
      </c>
      <c r="J356" s="113"/>
    </row>
    <row r="357" spans="1:10" ht="72" x14ac:dyDescent="0.3">
      <c r="A357" s="112" t="s">
        <v>264</v>
      </c>
      <c r="B357" s="113" t="s">
        <v>264</v>
      </c>
      <c r="C357" s="113" t="s">
        <v>797</v>
      </c>
      <c r="D357" s="113" t="s">
        <v>120</v>
      </c>
      <c r="E357" s="113" t="s">
        <v>192</v>
      </c>
      <c r="F357" s="113" t="s">
        <v>798</v>
      </c>
      <c r="G357" s="113" t="s">
        <v>193</v>
      </c>
      <c r="H357" s="113" t="s">
        <v>194</v>
      </c>
      <c r="I357" s="114" t="s">
        <v>799</v>
      </c>
      <c r="J357" s="113"/>
    </row>
    <row r="358" spans="1:10" x14ac:dyDescent="0.3">
      <c r="A358" s="112" t="s">
        <v>264</v>
      </c>
      <c r="B358" s="113" t="s">
        <v>264</v>
      </c>
      <c r="C358" s="113" t="s">
        <v>800</v>
      </c>
      <c r="D358" s="113" t="s">
        <v>241</v>
      </c>
      <c r="E358" s="113" t="s">
        <v>192</v>
      </c>
      <c r="F358" s="113" t="s">
        <v>801</v>
      </c>
      <c r="G358" s="113" t="s">
        <v>193</v>
      </c>
      <c r="H358" s="113" t="s">
        <v>201</v>
      </c>
      <c r="I358" s="114" t="s">
        <v>190</v>
      </c>
      <c r="J358" s="113"/>
    </row>
    <row r="359" spans="1:10" x14ac:dyDescent="0.3">
      <c r="A359" s="112" t="s">
        <v>189</v>
      </c>
      <c r="B359" s="113" t="s">
        <v>190</v>
      </c>
      <c r="C359" s="113" t="s">
        <v>800</v>
      </c>
      <c r="D359" s="113" t="s">
        <v>56</v>
      </c>
      <c r="E359" s="113" t="s">
        <v>192</v>
      </c>
      <c r="F359" s="113" t="s">
        <v>801</v>
      </c>
      <c r="G359" s="113" t="s">
        <v>193</v>
      </c>
      <c r="H359" s="113" t="s">
        <v>201</v>
      </c>
      <c r="I359" s="114" t="s">
        <v>190</v>
      </c>
      <c r="J359" s="113"/>
    </row>
    <row r="360" spans="1:10" x14ac:dyDescent="0.3">
      <c r="A360" s="112" t="s">
        <v>189</v>
      </c>
      <c r="B360" s="113" t="s">
        <v>190</v>
      </c>
      <c r="C360" s="113" t="s">
        <v>800</v>
      </c>
      <c r="D360" s="113" t="s">
        <v>120</v>
      </c>
      <c r="E360" s="113" t="s">
        <v>192</v>
      </c>
      <c r="F360" s="113" t="s">
        <v>798</v>
      </c>
      <c r="G360" s="113" t="s">
        <v>193</v>
      </c>
      <c r="H360" s="113" t="s">
        <v>194</v>
      </c>
      <c r="I360" s="114" t="s">
        <v>190</v>
      </c>
      <c r="J360" s="113"/>
    </row>
    <row r="361" spans="1:10" ht="86.4" x14ac:dyDescent="0.3">
      <c r="A361" s="112" t="s">
        <v>264</v>
      </c>
      <c r="B361" s="113" t="s">
        <v>264</v>
      </c>
      <c r="C361" s="113" t="s">
        <v>800</v>
      </c>
      <c r="D361" s="113" t="s">
        <v>802</v>
      </c>
      <c r="E361" s="113" t="s">
        <v>192</v>
      </c>
      <c r="F361" s="113" t="s">
        <v>803</v>
      </c>
      <c r="G361" s="113" t="s">
        <v>193</v>
      </c>
      <c r="H361" s="113" t="s">
        <v>194</v>
      </c>
      <c r="I361" s="114" t="s">
        <v>804</v>
      </c>
      <c r="J361" s="113"/>
    </row>
    <row r="362" spans="1:10" ht="129.6" x14ac:dyDescent="0.3">
      <c r="A362" s="112" t="s">
        <v>189</v>
      </c>
      <c r="B362" s="113" t="s">
        <v>190</v>
      </c>
      <c r="C362" s="113" t="s">
        <v>805</v>
      </c>
      <c r="D362" s="113" t="s">
        <v>120</v>
      </c>
      <c r="E362" s="113" t="s">
        <v>192</v>
      </c>
      <c r="F362" s="113" t="s">
        <v>806</v>
      </c>
      <c r="G362" s="113" t="s">
        <v>193</v>
      </c>
      <c r="H362" s="113" t="s">
        <v>194</v>
      </c>
      <c r="I362" s="114" t="s">
        <v>807</v>
      </c>
      <c r="J362" s="113"/>
    </row>
    <row r="363" spans="1:10" ht="115.2" x14ac:dyDescent="0.3">
      <c r="A363" s="112" t="s">
        <v>189</v>
      </c>
      <c r="B363" s="113" t="s">
        <v>190</v>
      </c>
      <c r="C363" s="113" t="s">
        <v>808</v>
      </c>
      <c r="D363" s="113" t="s">
        <v>120</v>
      </c>
      <c r="E363" s="113" t="s">
        <v>192</v>
      </c>
      <c r="F363" s="113" t="s">
        <v>803</v>
      </c>
      <c r="G363" s="113" t="s">
        <v>193</v>
      </c>
      <c r="H363" s="113" t="s">
        <v>194</v>
      </c>
      <c r="I363" s="114" t="s">
        <v>809</v>
      </c>
      <c r="J363" s="113"/>
    </row>
    <row r="364" spans="1:10" x14ac:dyDescent="0.3">
      <c r="A364" s="112" t="s">
        <v>264</v>
      </c>
      <c r="B364" s="113" t="s">
        <v>264</v>
      </c>
      <c r="C364" s="113" t="s">
        <v>808</v>
      </c>
      <c r="D364" s="113" t="s">
        <v>633</v>
      </c>
      <c r="E364" s="113" t="s">
        <v>192</v>
      </c>
      <c r="F364" s="113" t="s">
        <v>492</v>
      </c>
      <c r="G364" s="113" t="s">
        <v>193</v>
      </c>
      <c r="H364" s="113" t="s">
        <v>201</v>
      </c>
      <c r="I364" s="114" t="s">
        <v>190</v>
      </c>
      <c r="J364" s="113"/>
    </row>
    <row r="365" spans="1:10" x14ac:dyDescent="0.3">
      <c r="A365" s="112" t="s">
        <v>264</v>
      </c>
      <c r="B365" s="113" t="s">
        <v>264</v>
      </c>
      <c r="C365" s="113" t="s">
        <v>810</v>
      </c>
      <c r="D365" s="113" t="s">
        <v>56</v>
      </c>
      <c r="E365" s="113" t="s">
        <v>192</v>
      </c>
      <c r="F365" s="113" t="s">
        <v>492</v>
      </c>
      <c r="G365" s="113" t="s">
        <v>193</v>
      </c>
      <c r="H365" s="113" t="s">
        <v>201</v>
      </c>
      <c r="I365" s="114" t="s">
        <v>190</v>
      </c>
      <c r="J365" s="113"/>
    </row>
    <row r="366" spans="1:10" x14ac:dyDescent="0.3">
      <c r="A366" s="112" t="s">
        <v>264</v>
      </c>
      <c r="B366" s="113" t="s">
        <v>264</v>
      </c>
      <c r="C366" s="113" t="s">
        <v>810</v>
      </c>
      <c r="D366" s="113" t="s">
        <v>120</v>
      </c>
      <c r="E366" s="113" t="s">
        <v>192</v>
      </c>
      <c r="F366" s="113" t="s">
        <v>492</v>
      </c>
      <c r="G366" s="113" t="s">
        <v>193</v>
      </c>
      <c r="H366" s="113" t="s">
        <v>201</v>
      </c>
      <c r="I366" s="114" t="s">
        <v>190</v>
      </c>
      <c r="J366" s="113"/>
    </row>
    <row r="367" spans="1:10" x14ac:dyDescent="0.3">
      <c r="A367" s="112" t="s">
        <v>189</v>
      </c>
      <c r="B367" s="113" t="s">
        <v>190</v>
      </c>
      <c r="C367" s="113" t="s">
        <v>811</v>
      </c>
      <c r="D367" s="113" t="s">
        <v>120</v>
      </c>
      <c r="E367" s="113" t="s">
        <v>192</v>
      </c>
      <c r="F367" s="113" t="s">
        <v>812</v>
      </c>
      <c r="G367" s="113" t="s">
        <v>193</v>
      </c>
      <c r="H367" s="113" t="s">
        <v>201</v>
      </c>
      <c r="I367" s="114" t="s">
        <v>190</v>
      </c>
      <c r="J367" s="113"/>
    </row>
    <row r="368" spans="1:10" x14ac:dyDescent="0.3">
      <c r="A368" s="112" t="s">
        <v>69</v>
      </c>
      <c r="B368" s="113" t="s">
        <v>229</v>
      </c>
      <c r="C368" s="113" t="s">
        <v>811</v>
      </c>
      <c r="D368" s="113" t="s">
        <v>686</v>
      </c>
      <c r="E368" s="113" t="s">
        <v>192</v>
      </c>
      <c r="F368" s="113" t="s">
        <v>813</v>
      </c>
      <c r="G368" s="113" t="s">
        <v>193</v>
      </c>
      <c r="H368" s="113" t="s">
        <v>204</v>
      </c>
      <c r="I368" s="114" t="s">
        <v>190</v>
      </c>
      <c r="J368" s="113"/>
    </row>
    <row r="369" spans="1:10" ht="129.6" x14ac:dyDescent="0.3">
      <c r="A369" s="112" t="s">
        <v>189</v>
      </c>
      <c r="B369" s="113" t="s">
        <v>229</v>
      </c>
      <c r="C369" s="113" t="s">
        <v>814</v>
      </c>
      <c r="D369" s="113" t="s">
        <v>56</v>
      </c>
      <c r="E369" s="113" t="s">
        <v>192</v>
      </c>
      <c r="F369" s="113" t="s">
        <v>790</v>
      </c>
      <c r="G369" s="113" t="s">
        <v>193</v>
      </c>
      <c r="H369" s="113" t="s">
        <v>194</v>
      </c>
      <c r="I369" s="114" t="s">
        <v>815</v>
      </c>
      <c r="J369" s="113"/>
    </row>
    <row r="370" spans="1:10" ht="100.8" x14ac:dyDescent="0.3">
      <c r="A370" s="112" t="s">
        <v>189</v>
      </c>
      <c r="B370" s="113" t="s">
        <v>190</v>
      </c>
      <c r="C370" s="113" t="s">
        <v>816</v>
      </c>
      <c r="D370" s="113" t="s">
        <v>120</v>
      </c>
      <c r="E370" s="113" t="s">
        <v>192</v>
      </c>
      <c r="F370" s="113" t="s">
        <v>806</v>
      </c>
      <c r="G370" s="113" t="s">
        <v>193</v>
      </c>
      <c r="H370" s="113" t="s">
        <v>194</v>
      </c>
      <c r="I370" s="114" t="s">
        <v>817</v>
      </c>
      <c r="J370" s="113"/>
    </row>
    <row r="371" spans="1:10" x14ac:dyDescent="0.3">
      <c r="A371" s="112" t="s">
        <v>189</v>
      </c>
      <c r="B371" s="113" t="s">
        <v>190</v>
      </c>
      <c r="C371" s="113" t="s">
        <v>816</v>
      </c>
      <c r="D371" s="113" t="s">
        <v>120</v>
      </c>
      <c r="E371" s="113" t="s">
        <v>192</v>
      </c>
      <c r="F371" s="113" t="s">
        <v>818</v>
      </c>
      <c r="G371" s="113" t="s">
        <v>193</v>
      </c>
      <c r="H371" s="113" t="s">
        <v>201</v>
      </c>
      <c r="I371" s="114" t="s">
        <v>190</v>
      </c>
      <c r="J371" s="113"/>
    </row>
    <row r="372" spans="1:10" x14ac:dyDescent="0.3">
      <c r="A372" s="112" t="s">
        <v>819</v>
      </c>
      <c r="B372" s="113" t="s">
        <v>229</v>
      </c>
      <c r="C372" s="113" t="s">
        <v>820</v>
      </c>
      <c r="D372" s="113" t="s">
        <v>821</v>
      </c>
      <c r="E372" s="113" t="s">
        <v>192</v>
      </c>
      <c r="F372" s="113" t="s">
        <v>822</v>
      </c>
      <c r="G372" s="113" t="s">
        <v>193</v>
      </c>
      <c r="H372" s="113" t="s">
        <v>201</v>
      </c>
      <c r="I372" s="114" t="s">
        <v>190</v>
      </c>
      <c r="J372" s="113"/>
    </row>
    <row r="373" spans="1:10" ht="43.2" x14ac:dyDescent="0.3">
      <c r="A373" s="112" t="s">
        <v>264</v>
      </c>
      <c r="B373" s="113" t="s">
        <v>264</v>
      </c>
      <c r="C373" s="113" t="s">
        <v>823</v>
      </c>
      <c r="D373" s="113" t="s">
        <v>241</v>
      </c>
      <c r="E373" s="113" t="s">
        <v>192</v>
      </c>
      <c r="F373" s="113" t="s">
        <v>824</v>
      </c>
      <c r="G373" s="113" t="s">
        <v>193</v>
      </c>
      <c r="H373" s="113" t="s">
        <v>204</v>
      </c>
      <c r="I373" s="114" t="s">
        <v>825</v>
      </c>
      <c r="J373" s="113"/>
    </row>
    <row r="374" spans="1:10" x14ac:dyDescent="0.3">
      <c r="A374" s="112" t="s">
        <v>69</v>
      </c>
      <c r="B374" s="113" t="s">
        <v>229</v>
      </c>
      <c r="C374" s="113" t="s">
        <v>823</v>
      </c>
      <c r="D374" s="113" t="s">
        <v>89</v>
      </c>
      <c r="E374" s="113" t="s">
        <v>192</v>
      </c>
      <c r="F374" s="113" t="s">
        <v>826</v>
      </c>
      <c r="G374" s="113" t="s">
        <v>193</v>
      </c>
      <c r="H374" s="113" t="s">
        <v>201</v>
      </c>
      <c r="I374" s="114" t="s">
        <v>190</v>
      </c>
      <c r="J374" s="113"/>
    </row>
    <row r="375" spans="1:10" ht="302.39999999999998" x14ac:dyDescent="0.3">
      <c r="A375" s="112" t="s">
        <v>69</v>
      </c>
      <c r="B375" s="113" t="s">
        <v>229</v>
      </c>
      <c r="C375" s="113" t="s">
        <v>823</v>
      </c>
      <c r="D375" s="113" t="s">
        <v>128</v>
      </c>
      <c r="E375" s="113" t="s">
        <v>192</v>
      </c>
      <c r="F375" s="113" t="s">
        <v>827</v>
      </c>
      <c r="G375" s="113" t="s">
        <v>193</v>
      </c>
      <c r="H375" s="113" t="s">
        <v>194</v>
      </c>
      <c r="I375" s="114" t="s">
        <v>828</v>
      </c>
      <c r="J375" s="113"/>
    </row>
    <row r="376" spans="1:10" ht="100.8" x14ac:dyDescent="0.3">
      <c r="A376" s="112" t="s">
        <v>264</v>
      </c>
      <c r="B376" s="113" t="s">
        <v>264</v>
      </c>
      <c r="C376" s="113" t="s">
        <v>823</v>
      </c>
      <c r="D376" s="113" t="s">
        <v>147</v>
      </c>
      <c r="E376" s="113" t="s">
        <v>192</v>
      </c>
      <c r="F376" s="113" t="s">
        <v>827</v>
      </c>
      <c r="G376" s="113" t="s">
        <v>193</v>
      </c>
      <c r="H376" s="113" t="s">
        <v>194</v>
      </c>
      <c r="I376" s="114" t="s">
        <v>829</v>
      </c>
      <c r="J376" s="113"/>
    </row>
    <row r="377" spans="1:10" ht="86.4" x14ac:dyDescent="0.3">
      <c r="A377" s="112" t="s">
        <v>264</v>
      </c>
      <c r="B377" s="113" t="s">
        <v>264</v>
      </c>
      <c r="C377" s="113" t="s">
        <v>823</v>
      </c>
      <c r="D377" s="113" t="s">
        <v>830</v>
      </c>
      <c r="E377" s="113" t="s">
        <v>192</v>
      </c>
      <c r="F377" s="113" t="s">
        <v>831</v>
      </c>
      <c r="G377" s="113" t="s">
        <v>193</v>
      </c>
      <c r="H377" s="113" t="s">
        <v>194</v>
      </c>
      <c r="I377" s="114" t="s">
        <v>832</v>
      </c>
      <c r="J377" s="113"/>
    </row>
    <row r="378" spans="1:10" x14ac:dyDescent="0.3">
      <c r="A378" s="112" t="s">
        <v>189</v>
      </c>
      <c r="B378" s="113" t="s">
        <v>190</v>
      </c>
      <c r="C378" s="113" t="s">
        <v>833</v>
      </c>
      <c r="D378" s="113" t="s">
        <v>56</v>
      </c>
      <c r="E378" s="113" t="s">
        <v>192</v>
      </c>
      <c r="F378" s="113" t="s">
        <v>834</v>
      </c>
      <c r="G378" s="113" t="s">
        <v>193</v>
      </c>
      <c r="H378" s="113" t="s">
        <v>201</v>
      </c>
      <c r="I378" s="114" t="s">
        <v>190</v>
      </c>
      <c r="J378" s="113"/>
    </row>
    <row r="379" spans="1:10" ht="158.4" x14ac:dyDescent="0.3">
      <c r="A379" s="112" t="s">
        <v>189</v>
      </c>
      <c r="B379" s="113" t="s">
        <v>232</v>
      </c>
      <c r="C379" s="113" t="s">
        <v>833</v>
      </c>
      <c r="D379" s="113" t="s">
        <v>132</v>
      </c>
      <c r="E379" s="113" t="s">
        <v>192</v>
      </c>
      <c r="F379" s="113" t="s">
        <v>211</v>
      </c>
      <c r="G379" s="113" t="s">
        <v>193</v>
      </c>
      <c r="H379" s="113" t="s">
        <v>194</v>
      </c>
      <c r="I379" s="114" t="s">
        <v>835</v>
      </c>
      <c r="J379" s="113"/>
    </row>
    <row r="380" spans="1:10" ht="86.4" x14ac:dyDescent="0.3">
      <c r="A380" s="112" t="s">
        <v>69</v>
      </c>
      <c r="B380" s="113" t="s">
        <v>229</v>
      </c>
      <c r="C380" s="113" t="s">
        <v>836</v>
      </c>
      <c r="D380" s="113" t="s">
        <v>120</v>
      </c>
      <c r="E380" s="113" t="s">
        <v>192</v>
      </c>
      <c r="F380" s="113" t="s">
        <v>837</v>
      </c>
      <c r="G380" s="113" t="s">
        <v>193</v>
      </c>
      <c r="H380" s="113" t="s">
        <v>201</v>
      </c>
      <c r="I380" s="114" t="s">
        <v>838</v>
      </c>
      <c r="J380" s="113"/>
    </row>
    <row r="381" spans="1:10" ht="144" x14ac:dyDescent="0.3">
      <c r="A381" s="112" t="s">
        <v>264</v>
      </c>
      <c r="B381" s="113" t="s">
        <v>264</v>
      </c>
      <c r="C381" s="113" t="s">
        <v>836</v>
      </c>
      <c r="D381" s="113" t="s">
        <v>16</v>
      </c>
      <c r="E381" s="113" t="s">
        <v>192</v>
      </c>
      <c r="F381" s="113" t="s">
        <v>839</v>
      </c>
      <c r="G381" s="113" t="s">
        <v>193</v>
      </c>
      <c r="H381" s="113" t="s">
        <v>204</v>
      </c>
      <c r="I381" s="114" t="s">
        <v>840</v>
      </c>
      <c r="J381" s="113"/>
    </row>
    <row r="382" spans="1:10" ht="72" x14ac:dyDescent="0.3">
      <c r="A382" s="112" t="s">
        <v>264</v>
      </c>
      <c r="B382" s="113" t="s">
        <v>264</v>
      </c>
      <c r="C382" s="113" t="s">
        <v>836</v>
      </c>
      <c r="D382" s="113" t="s">
        <v>120</v>
      </c>
      <c r="E382" s="113" t="s">
        <v>192</v>
      </c>
      <c r="F382" s="113" t="s">
        <v>782</v>
      </c>
      <c r="G382" s="113" t="s">
        <v>193</v>
      </c>
      <c r="H382" s="113" t="s">
        <v>201</v>
      </c>
      <c r="I382" s="114" t="s">
        <v>841</v>
      </c>
      <c r="J382" s="113"/>
    </row>
    <row r="383" spans="1:10" x14ac:dyDescent="0.3">
      <c r="A383" s="112" t="s">
        <v>264</v>
      </c>
      <c r="B383" s="113" t="s">
        <v>264</v>
      </c>
      <c r="C383" s="113" t="s">
        <v>842</v>
      </c>
      <c r="D383" s="113" t="s">
        <v>120</v>
      </c>
      <c r="E383" s="113" t="s">
        <v>192</v>
      </c>
      <c r="F383" s="113" t="s">
        <v>492</v>
      </c>
      <c r="G383" s="113" t="s">
        <v>193</v>
      </c>
      <c r="H383" s="113" t="s">
        <v>201</v>
      </c>
      <c r="I383" s="114" t="s">
        <v>190</v>
      </c>
      <c r="J383" s="113"/>
    </row>
    <row r="384" spans="1:10" x14ac:dyDescent="0.3">
      <c r="A384" s="112" t="s">
        <v>189</v>
      </c>
      <c r="B384" s="113" t="s">
        <v>190</v>
      </c>
      <c r="C384" s="113" t="s">
        <v>842</v>
      </c>
      <c r="D384" s="113" t="s">
        <v>56</v>
      </c>
      <c r="E384" s="113" t="s">
        <v>192</v>
      </c>
      <c r="F384" s="113" t="s">
        <v>492</v>
      </c>
      <c r="G384" s="113" t="s">
        <v>193</v>
      </c>
      <c r="H384" s="113" t="s">
        <v>201</v>
      </c>
      <c r="I384" s="114" t="s">
        <v>190</v>
      </c>
      <c r="J384" s="113"/>
    </row>
    <row r="385" spans="1:10" ht="57.6" x14ac:dyDescent="0.3">
      <c r="A385" s="112" t="s">
        <v>264</v>
      </c>
      <c r="B385" s="113" t="s">
        <v>264</v>
      </c>
      <c r="C385" s="113" t="s">
        <v>843</v>
      </c>
      <c r="D385" s="113" t="s">
        <v>120</v>
      </c>
      <c r="E385" s="113" t="s">
        <v>192</v>
      </c>
      <c r="F385" s="113" t="s">
        <v>844</v>
      </c>
      <c r="G385" s="113" t="s">
        <v>193</v>
      </c>
      <c r="H385" s="113" t="s">
        <v>194</v>
      </c>
      <c r="I385" s="114" t="s">
        <v>845</v>
      </c>
      <c r="J385" s="113"/>
    </row>
    <row r="386" spans="1:10" ht="72" x14ac:dyDescent="0.3">
      <c r="A386" s="112" t="s">
        <v>189</v>
      </c>
      <c r="B386" s="113" t="s">
        <v>190</v>
      </c>
      <c r="C386" s="113" t="s">
        <v>843</v>
      </c>
      <c r="D386" s="113" t="s">
        <v>111</v>
      </c>
      <c r="E386" s="113" t="s">
        <v>192</v>
      </c>
      <c r="F386" s="113" t="s">
        <v>834</v>
      </c>
      <c r="G386" s="113" t="s">
        <v>248</v>
      </c>
      <c r="H386" s="113" t="s">
        <v>201</v>
      </c>
      <c r="I386" s="114" t="s">
        <v>846</v>
      </c>
      <c r="J386" s="113"/>
    </row>
    <row r="387" spans="1:10" ht="72" x14ac:dyDescent="0.3">
      <c r="A387" s="112" t="s">
        <v>189</v>
      </c>
      <c r="B387" s="113" t="s">
        <v>698</v>
      </c>
      <c r="C387" s="113" t="s">
        <v>843</v>
      </c>
      <c r="D387" s="113" t="s">
        <v>95</v>
      </c>
      <c r="E387" s="113" t="s">
        <v>192</v>
      </c>
      <c r="F387" s="113" t="s">
        <v>847</v>
      </c>
      <c r="G387" s="113" t="s">
        <v>248</v>
      </c>
      <c r="H387" s="113" t="s">
        <v>201</v>
      </c>
      <c r="I387" s="114" t="s">
        <v>848</v>
      </c>
      <c r="J387" s="113"/>
    </row>
    <row r="388" spans="1:10" ht="72" x14ac:dyDescent="0.3">
      <c r="A388" s="112" t="s">
        <v>264</v>
      </c>
      <c r="B388" s="113" t="s">
        <v>264</v>
      </c>
      <c r="C388" s="113" t="s">
        <v>849</v>
      </c>
      <c r="D388" s="113" t="s">
        <v>120</v>
      </c>
      <c r="E388" s="113" t="s">
        <v>192</v>
      </c>
      <c r="F388" s="113" t="s">
        <v>850</v>
      </c>
      <c r="G388" s="113" t="s">
        <v>193</v>
      </c>
      <c r="H388" s="113" t="s">
        <v>194</v>
      </c>
      <c r="I388" s="114" t="s">
        <v>851</v>
      </c>
      <c r="J388" s="113"/>
    </row>
    <row r="389" spans="1:10" ht="57.6" x14ac:dyDescent="0.3">
      <c r="A389" s="112" t="s">
        <v>69</v>
      </c>
      <c r="B389" s="113" t="s">
        <v>232</v>
      </c>
      <c r="C389" s="113" t="s">
        <v>849</v>
      </c>
      <c r="D389" s="113" t="s">
        <v>501</v>
      </c>
      <c r="E389" s="113" t="s">
        <v>192</v>
      </c>
      <c r="F389" s="113" t="s">
        <v>850</v>
      </c>
      <c r="G389" s="113" t="s">
        <v>193</v>
      </c>
      <c r="H389" s="113" t="s">
        <v>194</v>
      </c>
      <c r="I389" s="114" t="s">
        <v>852</v>
      </c>
      <c r="J389" s="113"/>
    </row>
    <row r="390" spans="1:10" x14ac:dyDescent="0.3">
      <c r="A390" s="112" t="s">
        <v>264</v>
      </c>
      <c r="B390" s="113" t="s">
        <v>264</v>
      </c>
      <c r="C390" s="113" t="s">
        <v>849</v>
      </c>
      <c r="D390" s="113" t="s">
        <v>633</v>
      </c>
      <c r="E390" s="113" t="s">
        <v>192</v>
      </c>
      <c r="F390" s="113" t="s">
        <v>844</v>
      </c>
      <c r="G390" s="113" t="s">
        <v>193</v>
      </c>
      <c r="H390" s="113" t="s">
        <v>194</v>
      </c>
      <c r="I390" s="114" t="s">
        <v>190</v>
      </c>
      <c r="J390" s="113"/>
    </row>
    <row r="391" spans="1:10" x14ac:dyDescent="0.3">
      <c r="A391" s="112" t="s">
        <v>189</v>
      </c>
      <c r="B391" s="113" t="s">
        <v>698</v>
      </c>
      <c r="C391" s="113" t="s">
        <v>853</v>
      </c>
      <c r="D391" s="113" t="s">
        <v>209</v>
      </c>
      <c r="E391" s="113" t="s">
        <v>192</v>
      </c>
      <c r="F391" s="113" t="s">
        <v>854</v>
      </c>
      <c r="G391" s="113" t="s">
        <v>193</v>
      </c>
      <c r="H391" s="113" t="s">
        <v>201</v>
      </c>
      <c r="I391" s="114" t="s">
        <v>190</v>
      </c>
      <c r="J391" s="113"/>
    </row>
    <row r="392" spans="1:10" x14ac:dyDescent="0.3">
      <c r="A392" s="112" t="s">
        <v>264</v>
      </c>
      <c r="B392" s="113" t="s">
        <v>264</v>
      </c>
      <c r="C392" s="113" t="s">
        <v>853</v>
      </c>
      <c r="D392" s="113" t="s">
        <v>56</v>
      </c>
      <c r="E392" s="113" t="s">
        <v>192</v>
      </c>
      <c r="F392" s="113" t="s">
        <v>238</v>
      </c>
      <c r="G392" s="113" t="s">
        <v>193</v>
      </c>
      <c r="H392" s="113" t="s">
        <v>201</v>
      </c>
      <c r="I392" s="114" t="s">
        <v>190</v>
      </c>
      <c r="J392" s="113"/>
    </row>
    <row r="393" spans="1:10" x14ac:dyDescent="0.3">
      <c r="A393" s="112" t="s">
        <v>264</v>
      </c>
      <c r="B393" s="113" t="s">
        <v>264</v>
      </c>
      <c r="C393" s="113" t="s">
        <v>853</v>
      </c>
      <c r="D393" s="113" t="s">
        <v>241</v>
      </c>
      <c r="E393" s="113" t="s">
        <v>192</v>
      </c>
      <c r="F393" s="113" t="s">
        <v>238</v>
      </c>
      <c r="G393" s="113" t="s">
        <v>193</v>
      </c>
      <c r="H393" s="113" t="s">
        <v>201</v>
      </c>
      <c r="I393" s="114" t="s">
        <v>190</v>
      </c>
      <c r="J393" s="113"/>
    </row>
    <row r="394" spans="1:10" ht="100.8" x14ac:dyDescent="0.3">
      <c r="A394" s="112" t="s">
        <v>69</v>
      </c>
      <c r="B394" s="113" t="s">
        <v>232</v>
      </c>
      <c r="C394" s="113" t="s">
        <v>855</v>
      </c>
      <c r="D394" s="113" t="s">
        <v>56</v>
      </c>
      <c r="E394" s="113" t="s">
        <v>192</v>
      </c>
      <c r="F394" s="113" t="s">
        <v>850</v>
      </c>
      <c r="G394" s="113" t="s">
        <v>193</v>
      </c>
      <c r="H394" s="113" t="s">
        <v>194</v>
      </c>
      <c r="I394" s="114" t="s">
        <v>856</v>
      </c>
      <c r="J394" s="113"/>
    </row>
    <row r="395" spans="1:10" ht="273.60000000000002" x14ac:dyDescent="0.3">
      <c r="A395" s="112" t="s">
        <v>189</v>
      </c>
      <c r="B395" s="113" t="s">
        <v>229</v>
      </c>
      <c r="C395" s="113" t="s">
        <v>857</v>
      </c>
      <c r="D395" s="113" t="s">
        <v>132</v>
      </c>
      <c r="E395" s="113" t="s">
        <v>192</v>
      </c>
      <c r="F395" s="113" t="s">
        <v>208</v>
      </c>
      <c r="G395" s="113" t="s">
        <v>193</v>
      </c>
      <c r="H395" s="113" t="s">
        <v>194</v>
      </c>
      <c r="I395" s="114" t="s">
        <v>858</v>
      </c>
      <c r="J395" s="113"/>
    </row>
    <row r="396" spans="1:10" ht="72" x14ac:dyDescent="0.3">
      <c r="A396" s="112" t="s">
        <v>189</v>
      </c>
      <c r="B396" s="113" t="s">
        <v>190</v>
      </c>
      <c r="C396" s="113" t="s">
        <v>859</v>
      </c>
      <c r="D396" s="113" t="s">
        <v>56</v>
      </c>
      <c r="E396" s="113" t="s">
        <v>192</v>
      </c>
      <c r="F396" s="113" t="s">
        <v>860</v>
      </c>
      <c r="G396" s="113" t="s">
        <v>193</v>
      </c>
      <c r="H396" s="113" t="s">
        <v>204</v>
      </c>
      <c r="I396" s="114" t="s">
        <v>861</v>
      </c>
      <c r="J396" s="113"/>
    </row>
    <row r="397" spans="1:10" x14ac:dyDescent="0.3">
      <c r="A397" s="112" t="s">
        <v>264</v>
      </c>
      <c r="B397" s="113" t="s">
        <v>264</v>
      </c>
      <c r="C397" s="113" t="s">
        <v>862</v>
      </c>
      <c r="D397" s="113" t="s">
        <v>306</v>
      </c>
      <c r="E397" s="113" t="s">
        <v>192</v>
      </c>
      <c r="F397" s="113" t="s">
        <v>863</v>
      </c>
      <c r="G397" s="113" t="s">
        <v>193</v>
      </c>
      <c r="H397" s="113" t="s">
        <v>201</v>
      </c>
      <c r="I397" s="114" t="s">
        <v>190</v>
      </c>
      <c r="J397" s="113"/>
    </row>
    <row r="398" spans="1:10" x14ac:dyDescent="0.3">
      <c r="A398" s="112" t="s">
        <v>189</v>
      </c>
      <c r="B398" s="113" t="s">
        <v>190</v>
      </c>
      <c r="C398" s="113" t="s">
        <v>862</v>
      </c>
      <c r="D398" s="113" t="s">
        <v>80</v>
      </c>
      <c r="E398" s="113" t="s">
        <v>192</v>
      </c>
      <c r="F398" s="113" t="s">
        <v>864</v>
      </c>
      <c r="G398" s="113" t="s">
        <v>193</v>
      </c>
      <c r="H398" s="113" t="s">
        <v>201</v>
      </c>
      <c r="I398" s="114" t="s">
        <v>190</v>
      </c>
      <c r="J398" s="113"/>
    </row>
    <row r="399" spans="1:10" ht="216" x14ac:dyDescent="0.3">
      <c r="A399" s="112" t="s">
        <v>189</v>
      </c>
      <c r="B399" s="113" t="s">
        <v>190</v>
      </c>
      <c r="C399" s="113" t="s">
        <v>865</v>
      </c>
      <c r="D399" s="113" t="s">
        <v>14</v>
      </c>
      <c r="E399" s="113" t="s">
        <v>192</v>
      </c>
      <c r="F399" s="113" t="s">
        <v>866</v>
      </c>
      <c r="G399" s="113" t="s">
        <v>193</v>
      </c>
      <c r="H399" s="113" t="s">
        <v>194</v>
      </c>
      <c r="I399" s="114" t="s">
        <v>867</v>
      </c>
      <c r="J399" s="113"/>
    </row>
    <row r="400" spans="1:10" ht="172.8" x14ac:dyDescent="0.3">
      <c r="A400" s="112" t="s">
        <v>189</v>
      </c>
      <c r="B400" s="113" t="s">
        <v>190</v>
      </c>
      <c r="C400" s="113" t="s">
        <v>865</v>
      </c>
      <c r="D400" s="113" t="s">
        <v>56</v>
      </c>
      <c r="E400" s="113" t="s">
        <v>192</v>
      </c>
      <c r="F400" s="113" t="s">
        <v>868</v>
      </c>
      <c r="G400" s="113" t="s">
        <v>193</v>
      </c>
      <c r="H400" s="113" t="s">
        <v>194</v>
      </c>
      <c r="I400" s="114" t="s">
        <v>869</v>
      </c>
      <c r="J400" s="113"/>
    </row>
    <row r="401" spans="1:10" ht="86.4" x14ac:dyDescent="0.3">
      <c r="A401" s="112" t="s">
        <v>264</v>
      </c>
      <c r="B401" s="113" t="s">
        <v>264</v>
      </c>
      <c r="C401" s="113" t="s">
        <v>870</v>
      </c>
      <c r="D401" s="113" t="s">
        <v>209</v>
      </c>
      <c r="E401" s="113" t="s">
        <v>192</v>
      </c>
      <c r="F401" s="113" t="s">
        <v>780</v>
      </c>
      <c r="G401" s="113" t="s">
        <v>193</v>
      </c>
      <c r="H401" s="113" t="s">
        <v>201</v>
      </c>
      <c r="I401" s="114" t="s">
        <v>871</v>
      </c>
      <c r="J401" s="113"/>
    </row>
    <row r="402" spans="1:10" x14ac:dyDescent="0.3">
      <c r="A402" s="112" t="s">
        <v>264</v>
      </c>
      <c r="B402" s="113" t="s">
        <v>264</v>
      </c>
      <c r="C402" s="113" t="s">
        <v>872</v>
      </c>
      <c r="D402" s="113" t="s">
        <v>132</v>
      </c>
      <c r="E402" s="113" t="s">
        <v>192</v>
      </c>
      <c r="F402" s="113" t="s">
        <v>606</v>
      </c>
      <c r="G402" s="113" t="s">
        <v>193</v>
      </c>
      <c r="H402" s="113" t="s">
        <v>201</v>
      </c>
      <c r="I402" s="114" t="s">
        <v>190</v>
      </c>
      <c r="J402" s="113"/>
    </row>
    <row r="403" spans="1:10" ht="100.8" x14ac:dyDescent="0.3">
      <c r="A403" s="112" t="s">
        <v>189</v>
      </c>
      <c r="B403" s="113" t="s">
        <v>190</v>
      </c>
      <c r="C403" s="113" t="s">
        <v>873</v>
      </c>
      <c r="D403" s="113" t="s">
        <v>120</v>
      </c>
      <c r="E403" s="113" t="s">
        <v>192</v>
      </c>
      <c r="F403" s="113" t="s">
        <v>874</v>
      </c>
      <c r="G403" s="113" t="s">
        <v>193</v>
      </c>
      <c r="H403" s="113" t="s">
        <v>201</v>
      </c>
      <c r="I403" s="114" t="s">
        <v>875</v>
      </c>
      <c r="J403" s="113"/>
    </row>
    <row r="404" spans="1:10" x14ac:dyDescent="0.3">
      <c r="A404" s="112" t="s">
        <v>189</v>
      </c>
      <c r="B404" s="113" t="s">
        <v>698</v>
      </c>
      <c r="C404" s="113" t="s">
        <v>873</v>
      </c>
      <c r="D404" s="113" t="s">
        <v>128</v>
      </c>
      <c r="E404" s="113" t="s">
        <v>192</v>
      </c>
      <c r="F404" s="113" t="s">
        <v>876</v>
      </c>
      <c r="G404" s="113" t="s">
        <v>193</v>
      </c>
      <c r="H404" s="113" t="s">
        <v>201</v>
      </c>
      <c r="I404" s="114" t="s">
        <v>190</v>
      </c>
      <c r="J404" s="113"/>
    </row>
    <row r="405" spans="1:10" x14ac:dyDescent="0.3">
      <c r="A405" s="112" t="s">
        <v>189</v>
      </c>
      <c r="B405" s="113" t="s">
        <v>190</v>
      </c>
      <c r="C405" s="113" t="s">
        <v>877</v>
      </c>
      <c r="D405" s="113" t="s">
        <v>120</v>
      </c>
      <c r="E405" s="113" t="s">
        <v>192</v>
      </c>
      <c r="F405" s="113" t="s">
        <v>878</v>
      </c>
      <c r="G405" s="113" t="s">
        <v>193</v>
      </c>
      <c r="H405" s="113" t="s">
        <v>204</v>
      </c>
      <c r="I405" s="114" t="s">
        <v>190</v>
      </c>
      <c r="J405" s="113"/>
    </row>
    <row r="406" spans="1:10" ht="72" x14ac:dyDescent="0.3">
      <c r="A406" s="112" t="s">
        <v>189</v>
      </c>
      <c r="B406" s="113" t="s">
        <v>190</v>
      </c>
      <c r="C406" s="113" t="s">
        <v>879</v>
      </c>
      <c r="D406" s="113" t="s">
        <v>120</v>
      </c>
      <c r="E406" s="113" t="s">
        <v>192</v>
      </c>
      <c r="F406" s="113" t="s">
        <v>880</v>
      </c>
      <c r="G406" s="113" t="s">
        <v>193</v>
      </c>
      <c r="H406" s="113" t="s">
        <v>194</v>
      </c>
      <c r="I406" s="114" t="s">
        <v>881</v>
      </c>
      <c r="J406" s="113"/>
    </row>
    <row r="407" spans="1:10" ht="201.6" x14ac:dyDescent="0.3">
      <c r="A407" s="112" t="s">
        <v>264</v>
      </c>
      <c r="B407" s="113" t="s">
        <v>264</v>
      </c>
      <c r="C407" s="113" t="s">
        <v>882</v>
      </c>
      <c r="D407" s="113" t="s">
        <v>16</v>
      </c>
      <c r="E407" s="113" t="s">
        <v>192</v>
      </c>
      <c r="F407" s="113" t="s">
        <v>883</v>
      </c>
      <c r="G407" s="113" t="s">
        <v>193</v>
      </c>
      <c r="H407" s="113" t="s">
        <v>201</v>
      </c>
      <c r="I407" s="114" t="s">
        <v>884</v>
      </c>
      <c r="J407" s="113"/>
    </row>
    <row r="408" spans="1:10" x14ac:dyDescent="0.3">
      <c r="A408" s="112" t="s">
        <v>189</v>
      </c>
      <c r="B408" s="113" t="s">
        <v>190</v>
      </c>
      <c r="C408" s="113" t="s">
        <v>885</v>
      </c>
      <c r="D408" s="113" t="s">
        <v>56</v>
      </c>
      <c r="E408" s="113" t="s">
        <v>192</v>
      </c>
      <c r="F408" s="113" t="s">
        <v>886</v>
      </c>
      <c r="G408" s="113" t="s">
        <v>248</v>
      </c>
      <c r="H408" s="113" t="s">
        <v>201</v>
      </c>
      <c r="I408" s="114" t="s">
        <v>190</v>
      </c>
      <c r="J408" s="113"/>
    </row>
    <row r="409" spans="1:10" ht="100.8" x14ac:dyDescent="0.3">
      <c r="A409" s="112" t="s">
        <v>189</v>
      </c>
      <c r="B409" s="113" t="s">
        <v>698</v>
      </c>
      <c r="C409" s="113" t="s">
        <v>887</v>
      </c>
      <c r="D409" s="113" t="s">
        <v>56</v>
      </c>
      <c r="E409" s="113" t="s">
        <v>192</v>
      </c>
      <c r="F409" s="113" t="s">
        <v>826</v>
      </c>
      <c r="G409" s="113" t="s">
        <v>193</v>
      </c>
      <c r="H409" s="113" t="s">
        <v>201</v>
      </c>
      <c r="I409" s="114" t="s">
        <v>888</v>
      </c>
      <c r="J409" s="113"/>
    </row>
    <row r="410" spans="1:10" ht="115.2" x14ac:dyDescent="0.3">
      <c r="A410" s="112" t="s">
        <v>189</v>
      </c>
      <c r="B410" s="113" t="s">
        <v>190</v>
      </c>
      <c r="C410" s="113" t="s">
        <v>887</v>
      </c>
      <c r="D410" s="113" t="s">
        <v>95</v>
      </c>
      <c r="E410" s="113" t="s">
        <v>192</v>
      </c>
      <c r="F410" s="113" t="s">
        <v>889</v>
      </c>
      <c r="G410" s="113" t="s">
        <v>193</v>
      </c>
      <c r="H410" s="113" t="s">
        <v>194</v>
      </c>
      <c r="I410" s="114" t="s">
        <v>890</v>
      </c>
      <c r="J410" s="113"/>
    </row>
    <row r="411" spans="1:10" ht="86.4" x14ac:dyDescent="0.3">
      <c r="A411" s="112" t="s">
        <v>189</v>
      </c>
      <c r="B411" s="113" t="s">
        <v>190</v>
      </c>
      <c r="C411" s="113" t="s">
        <v>887</v>
      </c>
      <c r="D411" s="113" t="s">
        <v>120</v>
      </c>
      <c r="E411" s="113" t="s">
        <v>192</v>
      </c>
      <c r="F411" s="113" t="s">
        <v>889</v>
      </c>
      <c r="G411" s="113" t="s">
        <v>193</v>
      </c>
      <c r="H411" s="113" t="s">
        <v>194</v>
      </c>
      <c r="I411" s="114" t="s">
        <v>891</v>
      </c>
      <c r="J411" s="113"/>
    </row>
    <row r="412" spans="1:10" x14ac:dyDescent="0.3">
      <c r="A412" s="112" t="s">
        <v>189</v>
      </c>
      <c r="B412" s="113" t="s">
        <v>190</v>
      </c>
      <c r="C412" s="113" t="s">
        <v>887</v>
      </c>
      <c r="D412" s="113" t="s">
        <v>56</v>
      </c>
      <c r="E412" s="113" t="s">
        <v>192</v>
      </c>
      <c r="F412" s="113" t="s">
        <v>892</v>
      </c>
      <c r="G412" s="113" t="s">
        <v>193</v>
      </c>
      <c r="H412" s="113" t="s">
        <v>204</v>
      </c>
      <c r="I412" s="114" t="s">
        <v>190</v>
      </c>
      <c r="J412" s="113"/>
    </row>
    <row r="413" spans="1:10" ht="57.6" x14ac:dyDescent="0.3">
      <c r="A413" s="112" t="s">
        <v>189</v>
      </c>
      <c r="B413" s="113" t="s">
        <v>190</v>
      </c>
      <c r="C413" s="113" t="s">
        <v>887</v>
      </c>
      <c r="D413" s="113" t="s">
        <v>120</v>
      </c>
      <c r="E413" s="113" t="s">
        <v>192</v>
      </c>
      <c r="F413" s="113" t="s">
        <v>893</v>
      </c>
      <c r="G413" s="113" t="s">
        <v>193</v>
      </c>
      <c r="H413" s="113" t="s">
        <v>194</v>
      </c>
      <c r="I413" s="114" t="s">
        <v>894</v>
      </c>
      <c r="J413" s="113"/>
    </row>
    <row r="414" spans="1:10" ht="72" x14ac:dyDescent="0.3">
      <c r="A414" s="112" t="s">
        <v>189</v>
      </c>
      <c r="B414" s="113" t="s">
        <v>190</v>
      </c>
      <c r="C414" s="113" t="s">
        <v>887</v>
      </c>
      <c r="D414" s="113" t="s">
        <v>895</v>
      </c>
      <c r="E414" s="113" t="s">
        <v>192</v>
      </c>
      <c r="F414" s="113" t="s">
        <v>893</v>
      </c>
      <c r="G414" s="113" t="s">
        <v>193</v>
      </c>
      <c r="H414" s="113" t="s">
        <v>194</v>
      </c>
      <c r="I414" s="114" t="s">
        <v>896</v>
      </c>
      <c r="J414" s="113"/>
    </row>
    <row r="415" spans="1:10" ht="86.4" x14ac:dyDescent="0.3">
      <c r="A415" s="112" t="s">
        <v>189</v>
      </c>
      <c r="B415" s="113" t="s">
        <v>190</v>
      </c>
      <c r="C415" s="113" t="s">
        <v>887</v>
      </c>
      <c r="D415" s="113" t="s">
        <v>209</v>
      </c>
      <c r="E415" s="113" t="s">
        <v>192</v>
      </c>
      <c r="F415" s="113" t="s">
        <v>893</v>
      </c>
      <c r="G415" s="113" t="s">
        <v>193</v>
      </c>
      <c r="H415" s="113" t="s">
        <v>194</v>
      </c>
      <c r="I415" s="114" t="s">
        <v>897</v>
      </c>
      <c r="J415" s="113"/>
    </row>
    <row r="416" spans="1:10" ht="72" x14ac:dyDescent="0.3">
      <c r="A416" s="112" t="s">
        <v>189</v>
      </c>
      <c r="B416" s="113" t="s">
        <v>190</v>
      </c>
      <c r="C416" s="113" t="s">
        <v>887</v>
      </c>
      <c r="D416" s="113" t="s">
        <v>209</v>
      </c>
      <c r="E416" s="113" t="s">
        <v>192</v>
      </c>
      <c r="F416" s="113" t="s">
        <v>893</v>
      </c>
      <c r="G416" s="113" t="s">
        <v>193</v>
      </c>
      <c r="H416" s="113" t="s">
        <v>194</v>
      </c>
      <c r="I416" s="114" t="s">
        <v>898</v>
      </c>
      <c r="J416" s="113"/>
    </row>
    <row r="417" spans="1:10" ht="72" x14ac:dyDescent="0.3">
      <c r="A417" s="112" t="s">
        <v>189</v>
      </c>
      <c r="B417" s="113" t="s">
        <v>190</v>
      </c>
      <c r="C417" s="113" t="s">
        <v>887</v>
      </c>
      <c r="D417" s="113" t="s">
        <v>120</v>
      </c>
      <c r="E417" s="113" t="s">
        <v>192</v>
      </c>
      <c r="F417" s="113" t="s">
        <v>210</v>
      </c>
      <c r="G417" s="113" t="s">
        <v>193</v>
      </c>
      <c r="H417" s="113" t="s">
        <v>194</v>
      </c>
      <c r="I417" s="114" t="s">
        <v>899</v>
      </c>
      <c r="J417" s="113"/>
    </row>
    <row r="418" spans="1:10" ht="57.6" x14ac:dyDescent="0.3">
      <c r="A418" s="112" t="s">
        <v>189</v>
      </c>
      <c r="B418" s="113" t="s">
        <v>229</v>
      </c>
      <c r="C418" s="113" t="s">
        <v>887</v>
      </c>
      <c r="D418" s="113" t="s">
        <v>296</v>
      </c>
      <c r="E418" s="113" t="s">
        <v>192</v>
      </c>
      <c r="F418" s="113" t="s">
        <v>900</v>
      </c>
      <c r="G418" s="113" t="s">
        <v>193</v>
      </c>
      <c r="H418" s="113" t="s">
        <v>194</v>
      </c>
      <c r="I418" s="114" t="s">
        <v>901</v>
      </c>
      <c r="J418" s="113"/>
    </row>
    <row r="419" spans="1:10" x14ac:dyDescent="0.3">
      <c r="A419" s="112" t="s">
        <v>189</v>
      </c>
      <c r="B419" s="113" t="s">
        <v>190</v>
      </c>
      <c r="C419" s="113" t="s">
        <v>902</v>
      </c>
      <c r="D419" s="113" t="s">
        <v>56</v>
      </c>
      <c r="E419" s="113" t="s">
        <v>192</v>
      </c>
      <c r="F419" s="113" t="s">
        <v>903</v>
      </c>
      <c r="G419" s="113" t="s">
        <v>193</v>
      </c>
      <c r="H419" s="113" t="s">
        <v>201</v>
      </c>
      <c r="I419" s="114" t="s">
        <v>190</v>
      </c>
      <c r="J419" s="113"/>
    </row>
    <row r="420" spans="1:10" x14ac:dyDescent="0.3">
      <c r="A420" s="112" t="s">
        <v>189</v>
      </c>
      <c r="B420" s="113" t="s">
        <v>190</v>
      </c>
      <c r="C420" s="113" t="s">
        <v>902</v>
      </c>
      <c r="D420" s="113" t="s">
        <v>120</v>
      </c>
      <c r="E420" s="113" t="s">
        <v>192</v>
      </c>
      <c r="F420" s="113" t="s">
        <v>903</v>
      </c>
      <c r="G420" s="113" t="s">
        <v>193</v>
      </c>
      <c r="H420" s="113" t="s">
        <v>201</v>
      </c>
      <c r="I420" s="114" t="s">
        <v>190</v>
      </c>
      <c r="J420" s="113"/>
    </row>
    <row r="421" spans="1:10" ht="72" x14ac:dyDescent="0.3">
      <c r="A421" s="112" t="s">
        <v>189</v>
      </c>
      <c r="B421" s="113" t="s">
        <v>190</v>
      </c>
      <c r="C421" s="113" t="s">
        <v>904</v>
      </c>
      <c r="D421" s="113" t="s">
        <v>89</v>
      </c>
      <c r="E421" s="113" t="s">
        <v>192</v>
      </c>
      <c r="F421" s="113" t="s">
        <v>905</v>
      </c>
      <c r="G421" s="113" t="s">
        <v>193</v>
      </c>
      <c r="H421" s="113" t="s">
        <v>194</v>
      </c>
      <c r="I421" s="114" t="s">
        <v>906</v>
      </c>
      <c r="J421" s="113"/>
    </row>
    <row r="422" spans="1:10" ht="100.8" x14ac:dyDescent="0.3">
      <c r="A422" s="112" t="s">
        <v>189</v>
      </c>
      <c r="B422" s="113" t="s">
        <v>190</v>
      </c>
      <c r="C422" s="113" t="s">
        <v>907</v>
      </c>
      <c r="D422" s="113" t="s">
        <v>209</v>
      </c>
      <c r="E422" s="113" t="s">
        <v>192</v>
      </c>
      <c r="F422" s="113" t="s">
        <v>908</v>
      </c>
      <c r="G422" s="113" t="s">
        <v>193</v>
      </c>
      <c r="H422" s="113" t="s">
        <v>194</v>
      </c>
      <c r="I422" s="114" t="s">
        <v>909</v>
      </c>
      <c r="J422" s="113"/>
    </row>
    <row r="423" spans="1:10" ht="187.2" x14ac:dyDescent="0.3">
      <c r="A423" s="112" t="s">
        <v>189</v>
      </c>
      <c r="B423" s="113" t="s">
        <v>229</v>
      </c>
      <c r="C423" s="113" t="s">
        <v>907</v>
      </c>
      <c r="D423" s="113" t="s">
        <v>296</v>
      </c>
      <c r="E423" s="113" t="s">
        <v>192</v>
      </c>
      <c r="F423" s="113" t="s">
        <v>908</v>
      </c>
      <c r="G423" s="113" t="s">
        <v>193</v>
      </c>
      <c r="H423" s="113" t="s">
        <v>194</v>
      </c>
      <c r="I423" s="114" t="s">
        <v>910</v>
      </c>
      <c r="J423" s="113"/>
    </row>
    <row r="424" spans="1:10" x14ac:dyDescent="0.3">
      <c r="A424" s="112" t="s">
        <v>264</v>
      </c>
      <c r="B424" s="113" t="s">
        <v>264</v>
      </c>
      <c r="C424" s="113" t="s">
        <v>907</v>
      </c>
      <c r="D424" s="113" t="s">
        <v>89</v>
      </c>
      <c r="E424" s="113" t="s">
        <v>192</v>
      </c>
      <c r="F424" s="113" t="s">
        <v>911</v>
      </c>
      <c r="G424" s="113" t="s">
        <v>193</v>
      </c>
      <c r="H424" s="113" t="s">
        <v>201</v>
      </c>
      <c r="I424" s="114" t="s">
        <v>190</v>
      </c>
      <c r="J424" s="113"/>
    </row>
    <row r="425" spans="1:10" x14ac:dyDescent="0.3">
      <c r="A425" s="112" t="s">
        <v>264</v>
      </c>
      <c r="B425" s="113" t="s">
        <v>264</v>
      </c>
      <c r="C425" s="113" t="s">
        <v>912</v>
      </c>
      <c r="D425" s="113" t="s">
        <v>56</v>
      </c>
      <c r="E425" s="113" t="s">
        <v>192</v>
      </c>
      <c r="F425" s="113" t="s">
        <v>913</v>
      </c>
      <c r="G425" s="113" t="s">
        <v>193</v>
      </c>
      <c r="H425" s="113" t="s">
        <v>201</v>
      </c>
      <c r="I425" s="114" t="s">
        <v>190</v>
      </c>
      <c r="J425" s="113"/>
    </row>
    <row r="426" spans="1:10" ht="72" x14ac:dyDescent="0.3">
      <c r="A426" s="112" t="s">
        <v>189</v>
      </c>
      <c r="B426" s="113" t="s">
        <v>190</v>
      </c>
      <c r="C426" s="113" t="s">
        <v>914</v>
      </c>
      <c r="D426" s="113" t="s">
        <v>209</v>
      </c>
      <c r="E426" s="113" t="s">
        <v>192</v>
      </c>
      <c r="F426" s="113" t="s">
        <v>908</v>
      </c>
      <c r="G426" s="113" t="s">
        <v>193</v>
      </c>
      <c r="H426" s="113" t="s">
        <v>194</v>
      </c>
      <c r="I426" s="114" t="s">
        <v>915</v>
      </c>
      <c r="J426" s="113"/>
    </row>
    <row r="427" spans="1:10" ht="28.8" x14ac:dyDescent="0.3">
      <c r="A427" s="112" t="s">
        <v>189</v>
      </c>
      <c r="B427" s="113" t="s">
        <v>190</v>
      </c>
      <c r="C427" s="113" t="s">
        <v>916</v>
      </c>
      <c r="D427" s="113" t="s">
        <v>56</v>
      </c>
      <c r="E427" s="113" t="s">
        <v>192</v>
      </c>
      <c r="F427" s="113" t="s">
        <v>917</v>
      </c>
      <c r="G427" s="113" t="s">
        <v>193</v>
      </c>
      <c r="H427" s="113" t="s">
        <v>201</v>
      </c>
      <c r="I427" s="114" t="s">
        <v>202</v>
      </c>
      <c r="J427" s="113"/>
    </row>
    <row r="428" spans="1:10" ht="57.6" x14ac:dyDescent="0.3">
      <c r="A428" s="112" t="s">
        <v>189</v>
      </c>
      <c r="B428" s="113" t="s">
        <v>190</v>
      </c>
      <c r="C428" s="113" t="s">
        <v>918</v>
      </c>
      <c r="D428" s="113" t="s">
        <v>120</v>
      </c>
      <c r="E428" s="113" t="s">
        <v>192</v>
      </c>
      <c r="F428" s="113" t="s">
        <v>919</v>
      </c>
      <c r="G428" s="113" t="s">
        <v>193</v>
      </c>
      <c r="H428" s="113" t="s">
        <v>204</v>
      </c>
      <c r="I428" s="114" t="s">
        <v>920</v>
      </c>
      <c r="J428" s="113"/>
    </row>
    <row r="429" spans="1:10" ht="57.6" x14ac:dyDescent="0.3">
      <c r="A429" s="112" t="s">
        <v>264</v>
      </c>
      <c r="B429" s="113" t="s">
        <v>264</v>
      </c>
      <c r="C429" s="113" t="s">
        <v>921</v>
      </c>
      <c r="D429" s="113" t="s">
        <v>14</v>
      </c>
      <c r="E429" s="113" t="s">
        <v>192</v>
      </c>
      <c r="F429" s="113" t="s">
        <v>922</v>
      </c>
      <c r="G429" s="113" t="s">
        <v>193</v>
      </c>
      <c r="H429" s="113" t="s">
        <v>194</v>
      </c>
      <c r="I429" s="114" t="s">
        <v>923</v>
      </c>
      <c r="J429" s="113"/>
    </row>
    <row r="430" spans="1:10" ht="115.2" x14ac:dyDescent="0.3">
      <c r="A430" s="112" t="s">
        <v>189</v>
      </c>
      <c r="B430" s="113" t="s">
        <v>190</v>
      </c>
      <c r="C430" s="113" t="s">
        <v>924</v>
      </c>
      <c r="D430" s="113" t="s">
        <v>120</v>
      </c>
      <c r="E430" s="113" t="s">
        <v>192</v>
      </c>
      <c r="F430" s="113" t="s">
        <v>925</v>
      </c>
      <c r="G430" s="113" t="s">
        <v>193</v>
      </c>
      <c r="H430" s="113" t="s">
        <v>194</v>
      </c>
      <c r="I430" s="114" t="s">
        <v>926</v>
      </c>
      <c r="J430" s="113"/>
    </row>
    <row r="431" spans="1:10" ht="28.8" x14ac:dyDescent="0.3">
      <c r="A431" s="112" t="s">
        <v>189</v>
      </c>
      <c r="B431" s="113" t="s">
        <v>190</v>
      </c>
      <c r="C431" s="113" t="s">
        <v>927</v>
      </c>
      <c r="D431" s="113" t="s">
        <v>120</v>
      </c>
      <c r="E431" s="113" t="s">
        <v>192</v>
      </c>
      <c r="F431" s="113" t="s">
        <v>928</v>
      </c>
      <c r="G431" s="113" t="s">
        <v>193</v>
      </c>
      <c r="H431" s="113" t="s">
        <v>201</v>
      </c>
      <c r="I431" s="114" t="s">
        <v>202</v>
      </c>
      <c r="J431" s="113"/>
    </row>
    <row r="432" spans="1:10" ht="115.2" x14ac:dyDescent="0.3">
      <c r="A432" s="112" t="s">
        <v>189</v>
      </c>
      <c r="B432" s="113" t="s">
        <v>229</v>
      </c>
      <c r="C432" s="113" t="s">
        <v>929</v>
      </c>
      <c r="D432" s="113" t="s">
        <v>128</v>
      </c>
      <c r="E432" s="113" t="s">
        <v>192</v>
      </c>
      <c r="F432" s="113" t="s">
        <v>930</v>
      </c>
      <c r="G432" s="113" t="s">
        <v>193</v>
      </c>
      <c r="H432" s="113" t="s">
        <v>194</v>
      </c>
      <c r="I432" s="114" t="s">
        <v>931</v>
      </c>
      <c r="J432" s="113"/>
    </row>
    <row r="433" spans="1:10" ht="100.8" x14ac:dyDescent="0.3">
      <c r="A433" s="112" t="s">
        <v>189</v>
      </c>
      <c r="B433" s="113" t="s">
        <v>190</v>
      </c>
      <c r="C433" s="113" t="s">
        <v>932</v>
      </c>
      <c r="D433" s="113" t="s">
        <v>686</v>
      </c>
      <c r="E433" s="113" t="s">
        <v>192</v>
      </c>
      <c r="F433" s="113" t="s">
        <v>933</v>
      </c>
      <c r="G433" s="113" t="s">
        <v>193</v>
      </c>
      <c r="H433" s="113" t="s">
        <v>194</v>
      </c>
      <c r="I433" s="114" t="s">
        <v>934</v>
      </c>
      <c r="J433" s="113"/>
    </row>
    <row r="434" spans="1:10" ht="144" x14ac:dyDescent="0.3">
      <c r="A434" s="112" t="s">
        <v>264</v>
      </c>
      <c r="B434" s="113" t="s">
        <v>264</v>
      </c>
      <c r="C434" s="113" t="s">
        <v>932</v>
      </c>
      <c r="D434" s="113" t="s">
        <v>56</v>
      </c>
      <c r="E434" s="113" t="s">
        <v>192</v>
      </c>
      <c r="F434" s="113" t="s">
        <v>935</v>
      </c>
      <c r="G434" s="113" t="s">
        <v>193</v>
      </c>
      <c r="H434" s="113" t="s">
        <v>201</v>
      </c>
      <c r="I434" s="114" t="s">
        <v>936</v>
      </c>
      <c r="J434" s="113"/>
    </row>
    <row r="435" spans="1:10" ht="144" x14ac:dyDescent="0.3">
      <c r="A435" s="112" t="s">
        <v>264</v>
      </c>
      <c r="B435" s="113" t="s">
        <v>264</v>
      </c>
      <c r="C435" s="113" t="s">
        <v>932</v>
      </c>
      <c r="D435" s="113" t="s">
        <v>241</v>
      </c>
      <c r="E435" s="113" t="s">
        <v>192</v>
      </c>
      <c r="F435" s="113" t="s">
        <v>935</v>
      </c>
      <c r="G435" s="113" t="s">
        <v>193</v>
      </c>
      <c r="H435" s="113" t="s">
        <v>201</v>
      </c>
      <c r="I435" s="114" t="s">
        <v>936</v>
      </c>
      <c r="J435" s="113"/>
    </row>
    <row r="436" spans="1:10" ht="100.8" x14ac:dyDescent="0.3">
      <c r="A436" s="112" t="s">
        <v>264</v>
      </c>
      <c r="B436" s="113" t="s">
        <v>264</v>
      </c>
      <c r="C436" s="113" t="s">
        <v>937</v>
      </c>
      <c r="D436" s="113" t="s">
        <v>132</v>
      </c>
      <c r="E436" s="113" t="s">
        <v>192</v>
      </c>
      <c r="F436" s="113" t="s">
        <v>367</v>
      </c>
      <c r="G436" s="113" t="s">
        <v>193</v>
      </c>
      <c r="H436" s="113" t="s">
        <v>201</v>
      </c>
      <c r="I436" s="114" t="s">
        <v>938</v>
      </c>
      <c r="J436" s="113"/>
    </row>
    <row r="437" spans="1:10" ht="172.8" x14ac:dyDescent="0.3">
      <c r="A437" s="112" t="s">
        <v>264</v>
      </c>
      <c r="B437" s="113" t="s">
        <v>264</v>
      </c>
      <c r="C437" s="113" t="s">
        <v>939</v>
      </c>
      <c r="D437" s="113" t="s">
        <v>154</v>
      </c>
      <c r="E437" s="113" t="s">
        <v>192</v>
      </c>
      <c r="F437" s="113" t="s">
        <v>605</v>
      </c>
      <c r="G437" s="113" t="s">
        <v>193</v>
      </c>
      <c r="H437" s="113" t="s">
        <v>201</v>
      </c>
      <c r="I437" s="114" t="s">
        <v>940</v>
      </c>
      <c r="J437" s="113"/>
    </row>
    <row r="438" spans="1:10" ht="172.8" x14ac:dyDescent="0.3">
      <c r="A438" s="112" t="s">
        <v>264</v>
      </c>
      <c r="B438" s="113" t="s">
        <v>264</v>
      </c>
      <c r="C438" s="113" t="s">
        <v>939</v>
      </c>
      <c r="D438" s="113" t="s">
        <v>147</v>
      </c>
      <c r="E438" s="113" t="s">
        <v>192</v>
      </c>
      <c r="F438" s="113" t="s">
        <v>605</v>
      </c>
      <c r="G438" s="113" t="s">
        <v>193</v>
      </c>
      <c r="H438" s="113" t="s">
        <v>201</v>
      </c>
      <c r="I438" s="114" t="s">
        <v>940</v>
      </c>
      <c r="J438" s="113"/>
    </row>
    <row r="439" spans="1:10" ht="28.8" x14ac:dyDescent="0.3">
      <c r="A439" s="112" t="s">
        <v>264</v>
      </c>
      <c r="B439" s="113" t="s">
        <v>264</v>
      </c>
      <c r="C439" s="113" t="s">
        <v>939</v>
      </c>
      <c r="D439" s="113" t="s">
        <v>310</v>
      </c>
      <c r="E439" s="113" t="s">
        <v>192</v>
      </c>
      <c r="F439" s="113" t="s">
        <v>941</v>
      </c>
      <c r="G439" s="113" t="s">
        <v>193</v>
      </c>
      <c r="H439" s="113" t="s">
        <v>201</v>
      </c>
      <c r="I439" s="114" t="s">
        <v>202</v>
      </c>
      <c r="J439" s="113"/>
    </row>
    <row r="440" spans="1:10" ht="100.8" x14ac:dyDescent="0.3">
      <c r="A440" s="112" t="s">
        <v>69</v>
      </c>
      <c r="B440" s="113" t="s">
        <v>229</v>
      </c>
      <c r="C440" s="113" t="s">
        <v>939</v>
      </c>
      <c r="D440" s="113" t="s">
        <v>147</v>
      </c>
      <c r="E440" s="113" t="s">
        <v>192</v>
      </c>
      <c r="F440" s="113" t="s">
        <v>942</v>
      </c>
      <c r="G440" s="113" t="s">
        <v>193</v>
      </c>
      <c r="H440" s="113" t="s">
        <v>204</v>
      </c>
      <c r="I440" s="114" t="s">
        <v>943</v>
      </c>
      <c r="J440" s="113"/>
    </row>
    <row r="441" spans="1:10" ht="86.4" x14ac:dyDescent="0.3">
      <c r="A441" s="112" t="s">
        <v>189</v>
      </c>
      <c r="B441" s="113" t="s">
        <v>190</v>
      </c>
      <c r="C441" s="113" t="s">
        <v>939</v>
      </c>
      <c r="D441" s="113" t="s">
        <v>944</v>
      </c>
      <c r="E441" s="113" t="s">
        <v>192</v>
      </c>
      <c r="F441" s="113" t="s">
        <v>945</v>
      </c>
      <c r="G441" s="113" t="s">
        <v>193</v>
      </c>
      <c r="H441" s="113" t="s">
        <v>194</v>
      </c>
      <c r="I441" s="114" t="s">
        <v>946</v>
      </c>
      <c r="J441" s="113"/>
    </row>
    <row r="442" spans="1:10" ht="86.4" x14ac:dyDescent="0.3">
      <c r="A442" s="112" t="s">
        <v>264</v>
      </c>
      <c r="B442" s="113" t="s">
        <v>264</v>
      </c>
      <c r="C442" s="113" t="s">
        <v>947</v>
      </c>
      <c r="D442" s="113" t="s">
        <v>56</v>
      </c>
      <c r="E442" s="113" t="s">
        <v>192</v>
      </c>
      <c r="F442" s="113" t="s">
        <v>948</v>
      </c>
      <c r="G442" s="113" t="s">
        <v>193</v>
      </c>
      <c r="H442" s="113" t="s">
        <v>201</v>
      </c>
      <c r="I442" s="114" t="s">
        <v>949</v>
      </c>
      <c r="J442" s="113"/>
    </row>
    <row r="443" spans="1:10" ht="100.8" x14ac:dyDescent="0.3">
      <c r="A443" s="112" t="s">
        <v>264</v>
      </c>
      <c r="B443" s="113" t="s">
        <v>264</v>
      </c>
      <c r="C443" s="113" t="s">
        <v>947</v>
      </c>
      <c r="D443" s="113" t="s">
        <v>160</v>
      </c>
      <c r="E443" s="113" t="s">
        <v>192</v>
      </c>
      <c r="F443" s="113" t="s">
        <v>948</v>
      </c>
      <c r="G443" s="113" t="s">
        <v>193</v>
      </c>
      <c r="H443" s="113" t="s">
        <v>201</v>
      </c>
      <c r="I443" s="114" t="s">
        <v>950</v>
      </c>
      <c r="J443" s="113"/>
    </row>
    <row r="444" spans="1:10" ht="72" x14ac:dyDescent="0.3">
      <c r="A444" s="112" t="s">
        <v>264</v>
      </c>
      <c r="B444" s="113" t="s">
        <v>264</v>
      </c>
      <c r="C444" s="113" t="s">
        <v>951</v>
      </c>
      <c r="D444" s="113" t="s">
        <v>120</v>
      </c>
      <c r="E444" s="113" t="s">
        <v>192</v>
      </c>
      <c r="F444" s="113" t="s">
        <v>605</v>
      </c>
      <c r="G444" s="113" t="s">
        <v>193</v>
      </c>
      <c r="H444" s="113" t="s">
        <v>201</v>
      </c>
      <c r="I444" s="114" t="s">
        <v>952</v>
      </c>
      <c r="J444" s="113"/>
    </row>
    <row r="445" spans="1:10" ht="72" x14ac:dyDescent="0.3">
      <c r="A445" s="112" t="s">
        <v>189</v>
      </c>
      <c r="B445" s="113" t="s">
        <v>698</v>
      </c>
      <c r="C445" s="113" t="s">
        <v>951</v>
      </c>
      <c r="D445" s="113" t="s">
        <v>95</v>
      </c>
      <c r="E445" s="113" t="s">
        <v>192</v>
      </c>
      <c r="F445" s="113" t="s">
        <v>605</v>
      </c>
      <c r="G445" s="113" t="s">
        <v>193</v>
      </c>
      <c r="H445" s="113" t="s">
        <v>201</v>
      </c>
      <c r="I445" s="114" t="s">
        <v>953</v>
      </c>
      <c r="J445" s="113"/>
    </row>
    <row r="446" spans="1:10" ht="72" x14ac:dyDescent="0.3">
      <c r="A446" s="112" t="s">
        <v>264</v>
      </c>
      <c r="B446" s="113" t="s">
        <v>264</v>
      </c>
      <c r="C446" s="113" t="s">
        <v>951</v>
      </c>
      <c r="D446" s="113" t="s">
        <v>95</v>
      </c>
      <c r="E446" s="113" t="s">
        <v>192</v>
      </c>
      <c r="F446" s="113" t="s">
        <v>954</v>
      </c>
      <c r="G446" s="113" t="s">
        <v>193</v>
      </c>
      <c r="H446" s="113" t="s">
        <v>201</v>
      </c>
      <c r="I446" s="114" t="s">
        <v>955</v>
      </c>
      <c r="J446" s="113"/>
    </row>
    <row r="447" spans="1:10" ht="72" x14ac:dyDescent="0.3">
      <c r="A447" s="112" t="s">
        <v>264</v>
      </c>
      <c r="B447" s="113" t="s">
        <v>264</v>
      </c>
      <c r="C447" s="113" t="s">
        <v>951</v>
      </c>
      <c r="D447" s="113" t="s">
        <v>956</v>
      </c>
      <c r="E447" s="113" t="s">
        <v>192</v>
      </c>
      <c r="F447" s="113" t="s">
        <v>954</v>
      </c>
      <c r="G447" s="113" t="s">
        <v>193</v>
      </c>
      <c r="H447" s="113" t="s">
        <v>201</v>
      </c>
      <c r="I447" s="114" t="s">
        <v>957</v>
      </c>
      <c r="J447" s="113"/>
    </row>
    <row r="448" spans="1:10" ht="115.2" x14ac:dyDescent="0.3">
      <c r="A448" s="112" t="s">
        <v>189</v>
      </c>
      <c r="B448" s="113" t="s">
        <v>190</v>
      </c>
      <c r="C448" s="113" t="s">
        <v>958</v>
      </c>
      <c r="D448" s="113" t="s">
        <v>89</v>
      </c>
      <c r="E448" s="113" t="s">
        <v>192</v>
      </c>
      <c r="F448" s="113" t="s">
        <v>959</v>
      </c>
      <c r="G448" s="113" t="s">
        <v>193</v>
      </c>
      <c r="H448" s="113" t="s">
        <v>194</v>
      </c>
      <c r="I448" s="114" t="s">
        <v>960</v>
      </c>
      <c r="J448" s="113"/>
    </row>
    <row r="449" spans="1:10" ht="115.2" x14ac:dyDescent="0.3">
      <c r="A449" s="112" t="s">
        <v>189</v>
      </c>
      <c r="B449" s="113" t="s">
        <v>190</v>
      </c>
      <c r="C449" s="113" t="s">
        <v>958</v>
      </c>
      <c r="D449" s="113" t="s">
        <v>80</v>
      </c>
      <c r="E449" s="113" t="s">
        <v>192</v>
      </c>
      <c r="F449" s="113" t="s">
        <v>961</v>
      </c>
      <c r="G449" s="113" t="s">
        <v>193</v>
      </c>
      <c r="H449" s="113" t="s">
        <v>194</v>
      </c>
      <c r="I449" s="114" t="s">
        <v>962</v>
      </c>
      <c r="J449" s="113"/>
    </row>
    <row r="450" spans="1:10" ht="86.4" x14ac:dyDescent="0.3">
      <c r="A450" s="112" t="s">
        <v>189</v>
      </c>
      <c r="B450" s="113" t="s">
        <v>190</v>
      </c>
      <c r="C450" s="113" t="s">
        <v>963</v>
      </c>
      <c r="D450" s="113" t="s">
        <v>120</v>
      </c>
      <c r="E450" s="113" t="s">
        <v>192</v>
      </c>
      <c r="F450" s="113" t="s">
        <v>964</v>
      </c>
      <c r="G450" s="113" t="s">
        <v>193</v>
      </c>
      <c r="H450" s="113" t="s">
        <v>194</v>
      </c>
      <c r="I450" s="114" t="s">
        <v>965</v>
      </c>
      <c r="J450" s="113"/>
    </row>
    <row r="451" spans="1:10" ht="115.2" x14ac:dyDescent="0.3">
      <c r="A451" s="112" t="s">
        <v>189</v>
      </c>
      <c r="B451" s="113" t="s">
        <v>190</v>
      </c>
      <c r="C451" s="113" t="s">
        <v>963</v>
      </c>
      <c r="D451" s="113" t="s">
        <v>120</v>
      </c>
      <c r="E451" s="113" t="s">
        <v>192</v>
      </c>
      <c r="F451" s="113" t="s">
        <v>966</v>
      </c>
      <c r="G451" s="113" t="s">
        <v>193</v>
      </c>
      <c r="H451" s="113" t="s">
        <v>194</v>
      </c>
      <c r="I451" s="114" t="s">
        <v>967</v>
      </c>
      <c r="J451" s="113"/>
    </row>
    <row r="452" spans="1:10" ht="216" x14ac:dyDescent="0.3">
      <c r="A452" s="112" t="s">
        <v>264</v>
      </c>
      <c r="B452" s="113" t="s">
        <v>264</v>
      </c>
      <c r="C452" s="113" t="s">
        <v>968</v>
      </c>
      <c r="D452" s="113" t="s">
        <v>769</v>
      </c>
      <c r="E452" s="113" t="s">
        <v>192</v>
      </c>
      <c r="F452" s="113" t="s">
        <v>969</v>
      </c>
      <c r="G452" s="113" t="s">
        <v>193</v>
      </c>
      <c r="H452" s="113" t="s">
        <v>194</v>
      </c>
      <c r="I452" s="114" t="s">
        <v>970</v>
      </c>
      <c r="J452" s="113"/>
    </row>
    <row r="453" spans="1:10" ht="158.4" x14ac:dyDescent="0.3">
      <c r="A453" s="112" t="s">
        <v>189</v>
      </c>
      <c r="B453" s="113" t="s">
        <v>190</v>
      </c>
      <c r="C453" s="113" t="s">
        <v>971</v>
      </c>
      <c r="D453" s="113" t="s">
        <v>120</v>
      </c>
      <c r="E453" s="113" t="s">
        <v>192</v>
      </c>
      <c r="F453" s="113" t="s">
        <v>972</v>
      </c>
      <c r="G453" s="113" t="s">
        <v>193</v>
      </c>
      <c r="H453" s="113" t="s">
        <v>194</v>
      </c>
      <c r="I453" s="114" t="s">
        <v>973</v>
      </c>
      <c r="J453" s="113"/>
    </row>
    <row r="454" spans="1:10" ht="57.6" x14ac:dyDescent="0.3">
      <c r="A454" s="112" t="s">
        <v>189</v>
      </c>
      <c r="B454" s="113" t="s">
        <v>190</v>
      </c>
      <c r="C454" s="113" t="s">
        <v>974</v>
      </c>
      <c r="D454" s="113" t="s">
        <v>120</v>
      </c>
      <c r="E454" s="113" t="s">
        <v>192</v>
      </c>
      <c r="F454" s="113" t="s">
        <v>975</v>
      </c>
      <c r="G454" s="113" t="s">
        <v>193</v>
      </c>
      <c r="H454" s="113" t="s">
        <v>194</v>
      </c>
      <c r="I454" s="114" t="s">
        <v>976</v>
      </c>
      <c r="J454" s="113"/>
    </row>
    <row r="455" spans="1:10" ht="86.4" x14ac:dyDescent="0.3">
      <c r="A455" s="112" t="s">
        <v>189</v>
      </c>
      <c r="B455" s="113" t="s">
        <v>232</v>
      </c>
      <c r="C455" s="113" t="s">
        <v>974</v>
      </c>
      <c r="D455" s="113" t="s">
        <v>977</v>
      </c>
      <c r="E455" s="113" t="s">
        <v>192</v>
      </c>
      <c r="F455" s="113" t="s">
        <v>978</v>
      </c>
      <c r="G455" s="113" t="s">
        <v>193</v>
      </c>
      <c r="H455" s="113" t="s">
        <v>194</v>
      </c>
      <c r="I455" s="114" t="s">
        <v>979</v>
      </c>
      <c r="J455" s="113"/>
    </row>
    <row r="456" spans="1:10" ht="86.4" x14ac:dyDescent="0.3">
      <c r="A456" s="112" t="s">
        <v>189</v>
      </c>
      <c r="B456" s="113" t="s">
        <v>232</v>
      </c>
      <c r="C456" s="113" t="s">
        <v>980</v>
      </c>
      <c r="D456" s="113" t="s">
        <v>56</v>
      </c>
      <c r="E456" s="113" t="s">
        <v>192</v>
      </c>
      <c r="F456" s="113" t="s">
        <v>981</v>
      </c>
      <c r="G456" s="113" t="s">
        <v>193</v>
      </c>
      <c r="H456" s="113" t="s">
        <v>194</v>
      </c>
      <c r="I456" s="114" t="s">
        <v>982</v>
      </c>
      <c r="J456" s="113"/>
    </row>
    <row r="457" spans="1:10" ht="216" x14ac:dyDescent="0.3">
      <c r="A457" s="112" t="s">
        <v>189</v>
      </c>
      <c r="B457" s="113" t="s">
        <v>190</v>
      </c>
      <c r="C457" s="113" t="s">
        <v>983</v>
      </c>
      <c r="D457" s="113" t="s">
        <v>56</v>
      </c>
      <c r="E457" s="113" t="s">
        <v>192</v>
      </c>
      <c r="F457" s="113" t="s">
        <v>984</v>
      </c>
      <c r="G457" s="113" t="s">
        <v>193</v>
      </c>
      <c r="H457" s="113" t="s">
        <v>194</v>
      </c>
      <c r="I457" s="114" t="s">
        <v>985</v>
      </c>
      <c r="J457" s="113"/>
    </row>
    <row r="458" spans="1:10" x14ac:dyDescent="0.3">
      <c r="A458" s="112" t="s">
        <v>189</v>
      </c>
      <c r="B458" s="113" t="s">
        <v>190</v>
      </c>
      <c r="C458" s="113" t="s">
        <v>986</v>
      </c>
      <c r="D458" s="113" t="s">
        <v>120</v>
      </c>
      <c r="E458" s="113" t="s">
        <v>192</v>
      </c>
      <c r="F458" s="113" t="s">
        <v>987</v>
      </c>
      <c r="G458" s="113" t="s">
        <v>193</v>
      </c>
      <c r="H458" s="113" t="s">
        <v>204</v>
      </c>
      <c r="I458" s="114" t="s">
        <v>190</v>
      </c>
      <c r="J458" s="113"/>
    </row>
    <row r="459" spans="1:10" ht="28.8" x14ac:dyDescent="0.3">
      <c r="A459" s="112" t="s">
        <v>189</v>
      </c>
      <c r="B459" s="113" t="s">
        <v>190</v>
      </c>
      <c r="C459" s="113" t="s">
        <v>988</v>
      </c>
      <c r="D459" s="113" t="s">
        <v>120</v>
      </c>
      <c r="E459" s="113" t="s">
        <v>192</v>
      </c>
      <c r="F459" s="113" t="s">
        <v>989</v>
      </c>
      <c r="G459" s="113" t="s">
        <v>193</v>
      </c>
      <c r="H459" s="113" t="s">
        <v>204</v>
      </c>
      <c r="I459" s="114" t="s">
        <v>990</v>
      </c>
      <c r="J459" s="113"/>
    </row>
    <row r="460" spans="1:10" ht="57.6" x14ac:dyDescent="0.3">
      <c r="A460" s="112" t="s">
        <v>189</v>
      </c>
      <c r="B460" s="113" t="s">
        <v>190</v>
      </c>
      <c r="C460" s="113" t="s">
        <v>991</v>
      </c>
      <c r="D460" s="113" t="s">
        <v>120</v>
      </c>
      <c r="E460" s="113" t="s">
        <v>192</v>
      </c>
      <c r="F460" s="113" t="s">
        <v>992</v>
      </c>
      <c r="G460" s="113" t="s">
        <v>193</v>
      </c>
      <c r="H460" s="113" t="s">
        <v>204</v>
      </c>
      <c r="I460" s="114" t="s">
        <v>993</v>
      </c>
      <c r="J460" s="113"/>
    </row>
    <row r="461" spans="1:10" x14ac:dyDescent="0.3">
      <c r="A461" s="112" t="s">
        <v>264</v>
      </c>
      <c r="B461" s="113" t="s">
        <v>264</v>
      </c>
      <c r="C461" s="113" t="s">
        <v>991</v>
      </c>
      <c r="D461" s="113" t="s">
        <v>310</v>
      </c>
      <c r="E461" s="113" t="s">
        <v>192</v>
      </c>
      <c r="F461" s="113" t="s">
        <v>994</v>
      </c>
      <c r="G461" s="113" t="s">
        <v>193</v>
      </c>
      <c r="H461" s="113" t="s">
        <v>204</v>
      </c>
      <c r="I461" s="114" t="s">
        <v>190</v>
      </c>
      <c r="J461" s="113"/>
    </row>
    <row r="462" spans="1:10" ht="144" x14ac:dyDescent="0.3">
      <c r="A462" s="112" t="s">
        <v>189</v>
      </c>
      <c r="B462" s="113" t="s">
        <v>190</v>
      </c>
      <c r="C462" s="113" t="s">
        <v>995</v>
      </c>
      <c r="D462" s="113" t="s">
        <v>120</v>
      </c>
      <c r="E462" s="113" t="s">
        <v>192</v>
      </c>
      <c r="F462" s="113" t="s">
        <v>587</v>
      </c>
      <c r="G462" s="113" t="s">
        <v>193</v>
      </c>
      <c r="H462" s="113" t="s">
        <v>204</v>
      </c>
      <c r="I462" s="114" t="s">
        <v>996</v>
      </c>
      <c r="J462" s="113"/>
    </row>
    <row r="463" spans="1:10" ht="100.8" x14ac:dyDescent="0.3">
      <c r="A463" s="112" t="s">
        <v>264</v>
      </c>
      <c r="B463" s="113" t="s">
        <v>264</v>
      </c>
      <c r="C463" s="113" t="s">
        <v>997</v>
      </c>
      <c r="D463" s="113" t="s">
        <v>998</v>
      </c>
      <c r="E463" s="113" t="s">
        <v>192</v>
      </c>
      <c r="F463" s="113" t="s">
        <v>999</v>
      </c>
      <c r="G463" s="113" t="s">
        <v>193</v>
      </c>
      <c r="H463" s="113" t="s">
        <v>204</v>
      </c>
      <c r="I463" s="114" t="s">
        <v>1000</v>
      </c>
      <c r="J463" s="113"/>
    </row>
    <row r="464" spans="1:10" ht="86.4" x14ac:dyDescent="0.3">
      <c r="A464" s="112" t="s">
        <v>189</v>
      </c>
      <c r="B464" s="113" t="s">
        <v>190</v>
      </c>
      <c r="C464" s="113" t="s">
        <v>1001</v>
      </c>
      <c r="D464" s="113" t="s">
        <v>120</v>
      </c>
      <c r="E464" s="113" t="s">
        <v>192</v>
      </c>
      <c r="F464" s="113" t="s">
        <v>1002</v>
      </c>
      <c r="G464" s="113" t="s">
        <v>193</v>
      </c>
      <c r="H464" s="113" t="s">
        <v>204</v>
      </c>
      <c r="I464" s="114" t="s">
        <v>1003</v>
      </c>
      <c r="J464" s="113"/>
    </row>
    <row r="465" spans="1:10" ht="115.2" x14ac:dyDescent="0.3">
      <c r="A465" s="112" t="s">
        <v>189</v>
      </c>
      <c r="B465" s="113" t="s">
        <v>190</v>
      </c>
      <c r="C465" s="113" t="s">
        <v>1001</v>
      </c>
      <c r="D465" s="113" t="s">
        <v>120</v>
      </c>
      <c r="E465" s="113" t="s">
        <v>192</v>
      </c>
      <c r="F465" s="113" t="s">
        <v>1004</v>
      </c>
      <c r="G465" s="113" t="s">
        <v>193</v>
      </c>
      <c r="H465" s="113" t="s">
        <v>204</v>
      </c>
      <c r="I465" s="114" t="s">
        <v>1005</v>
      </c>
      <c r="J465" s="113"/>
    </row>
    <row r="466" spans="1:10" ht="57.6" x14ac:dyDescent="0.3">
      <c r="A466" s="112" t="s">
        <v>264</v>
      </c>
      <c r="B466" s="113" t="s">
        <v>264</v>
      </c>
      <c r="C466" s="113" t="s">
        <v>1001</v>
      </c>
      <c r="D466" s="113" t="s">
        <v>633</v>
      </c>
      <c r="E466" s="113" t="s">
        <v>192</v>
      </c>
      <c r="F466" s="113" t="s">
        <v>1006</v>
      </c>
      <c r="G466" s="113" t="s">
        <v>193</v>
      </c>
      <c r="H466" s="113" t="s">
        <v>204</v>
      </c>
      <c r="I466" s="114" t="s">
        <v>1007</v>
      </c>
      <c r="J466" s="113"/>
    </row>
    <row r="467" spans="1:10" ht="57.6" x14ac:dyDescent="0.3">
      <c r="A467" s="112" t="s">
        <v>264</v>
      </c>
      <c r="B467" s="113" t="s">
        <v>264</v>
      </c>
      <c r="C467" s="113" t="s">
        <v>1001</v>
      </c>
      <c r="D467" s="113" t="s">
        <v>111</v>
      </c>
      <c r="E467" s="113" t="s">
        <v>192</v>
      </c>
      <c r="F467" s="113" t="s">
        <v>1006</v>
      </c>
      <c r="G467" s="113" t="s">
        <v>193</v>
      </c>
      <c r="H467" s="113" t="s">
        <v>204</v>
      </c>
      <c r="I467" s="114" t="s">
        <v>1007</v>
      </c>
      <c r="J467" s="113"/>
    </row>
    <row r="468" spans="1:10" ht="115.2" x14ac:dyDescent="0.3">
      <c r="A468" s="112" t="s">
        <v>189</v>
      </c>
      <c r="B468" s="113" t="s">
        <v>190</v>
      </c>
      <c r="C468" s="113" t="s">
        <v>1008</v>
      </c>
      <c r="D468" s="113" t="s">
        <v>120</v>
      </c>
      <c r="E468" s="113" t="s">
        <v>192</v>
      </c>
      <c r="F468" s="113" t="s">
        <v>1009</v>
      </c>
      <c r="G468" s="113" t="s">
        <v>193</v>
      </c>
      <c r="H468" s="113" t="s">
        <v>204</v>
      </c>
      <c r="I468" s="114" t="s">
        <v>1010</v>
      </c>
      <c r="J468" s="113"/>
    </row>
    <row r="469" spans="1:10" ht="86.4" x14ac:dyDescent="0.3">
      <c r="A469" s="112" t="s">
        <v>189</v>
      </c>
      <c r="B469" s="113" t="s">
        <v>190</v>
      </c>
      <c r="C469" s="113" t="s">
        <v>1008</v>
      </c>
      <c r="D469" s="113" t="s">
        <v>120</v>
      </c>
      <c r="E469" s="113" t="s">
        <v>192</v>
      </c>
      <c r="F469" s="113" t="s">
        <v>1011</v>
      </c>
      <c r="G469" s="113" t="s">
        <v>193</v>
      </c>
      <c r="H469" s="113" t="s">
        <v>204</v>
      </c>
      <c r="I469" s="114" t="s">
        <v>1012</v>
      </c>
      <c r="J469" s="113"/>
    </row>
    <row r="470" spans="1:10" ht="86.4" x14ac:dyDescent="0.3">
      <c r="A470" s="112" t="s">
        <v>189</v>
      </c>
      <c r="B470" s="113" t="s">
        <v>190</v>
      </c>
      <c r="C470" s="113" t="s">
        <v>1013</v>
      </c>
      <c r="D470" s="113" t="s">
        <v>120</v>
      </c>
      <c r="E470" s="113" t="s">
        <v>192</v>
      </c>
      <c r="F470" s="113" t="s">
        <v>554</v>
      </c>
      <c r="G470" s="113" t="s">
        <v>193</v>
      </c>
      <c r="H470" s="113" t="s">
        <v>204</v>
      </c>
      <c r="I470" s="114" t="s">
        <v>1014</v>
      </c>
      <c r="J470" s="113"/>
    </row>
    <row r="471" spans="1:10" x14ac:dyDescent="0.3">
      <c r="A471" s="112" t="s">
        <v>189</v>
      </c>
      <c r="B471" s="113" t="s">
        <v>190</v>
      </c>
      <c r="C471" s="113" t="s">
        <v>1015</v>
      </c>
      <c r="D471" s="113" t="s">
        <v>120</v>
      </c>
      <c r="E471" s="113" t="s">
        <v>192</v>
      </c>
      <c r="F471" s="113" t="s">
        <v>1016</v>
      </c>
      <c r="G471" s="113" t="s">
        <v>193</v>
      </c>
      <c r="H471" s="113" t="s">
        <v>204</v>
      </c>
      <c r="I471" s="114" t="s">
        <v>190</v>
      </c>
      <c r="J471" s="113"/>
    </row>
    <row r="472" spans="1:10" ht="86.4" x14ac:dyDescent="0.3">
      <c r="A472" s="112" t="s">
        <v>264</v>
      </c>
      <c r="B472" s="113" t="s">
        <v>264</v>
      </c>
      <c r="C472" s="113" t="s">
        <v>1017</v>
      </c>
      <c r="D472" s="113" t="s">
        <v>80</v>
      </c>
      <c r="E472" s="113" t="s">
        <v>192</v>
      </c>
      <c r="F472" s="113" t="s">
        <v>1018</v>
      </c>
      <c r="G472" s="113" t="s">
        <v>193</v>
      </c>
      <c r="H472" s="113" t="s">
        <v>204</v>
      </c>
      <c r="I472" s="114" t="s">
        <v>1019</v>
      </c>
      <c r="J472" s="113"/>
    </row>
    <row r="473" spans="1:10" ht="57.6" x14ac:dyDescent="0.3">
      <c r="A473" s="112" t="s">
        <v>264</v>
      </c>
      <c r="B473" s="113" t="s">
        <v>264</v>
      </c>
      <c r="C473" s="113" t="s">
        <v>1020</v>
      </c>
      <c r="D473" s="113" t="s">
        <v>209</v>
      </c>
      <c r="E473" s="113" t="s">
        <v>192</v>
      </c>
      <c r="F473" s="113" t="s">
        <v>1021</v>
      </c>
      <c r="G473" s="113" t="s">
        <v>193</v>
      </c>
      <c r="H473" s="113" t="s">
        <v>204</v>
      </c>
      <c r="I473" s="114" t="s">
        <v>1022</v>
      </c>
      <c r="J473" s="113"/>
    </row>
    <row r="474" spans="1:10" ht="57.6" x14ac:dyDescent="0.3">
      <c r="A474" s="112" t="s">
        <v>189</v>
      </c>
      <c r="B474" s="113" t="s">
        <v>190</v>
      </c>
      <c r="C474" s="113" t="s">
        <v>1023</v>
      </c>
      <c r="D474" s="113" t="s">
        <v>120</v>
      </c>
      <c r="E474" s="113" t="s">
        <v>192</v>
      </c>
      <c r="F474" s="113" t="s">
        <v>1024</v>
      </c>
      <c r="G474" s="113" t="s">
        <v>248</v>
      </c>
      <c r="H474" s="113" t="s">
        <v>204</v>
      </c>
      <c r="I474" s="114" t="s">
        <v>1025</v>
      </c>
      <c r="J474" s="113"/>
    </row>
    <row r="475" spans="1:10" x14ac:dyDescent="0.3">
      <c r="A475" s="112" t="s">
        <v>264</v>
      </c>
      <c r="B475" s="113" t="s">
        <v>264</v>
      </c>
      <c r="C475" s="113" t="s">
        <v>1026</v>
      </c>
      <c r="D475" s="113" t="s">
        <v>80</v>
      </c>
      <c r="E475" s="113" t="s">
        <v>192</v>
      </c>
      <c r="F475" s="113" t="s">
        <v>1027</v>
      </c>
      <c r="G475" s="113" t="s">
        <v>248</v>
      </c>
      <c r="H475" s="113" t="s">
        <v>201</v>
      </c>
      <c r="I475" s="114" t="s">
        <v>190</v>
      </c>
      <c r="J475" s="113"/>
    </row>
    <row r="476" spans="1:10" x14ac:dyDescent="0.3">
      <c r="A476" s="112" t="s">
        <v>264</v>
      </c>
      <c r="B476" s="113" t="s">
        <v>264</v>
      </c>
      <c r="C476" s="113" t="s">
        <v>1028</v>
      </c>
      <c r="D476" s="113" t="s">
        <v>1029</v>
      </c>
      <c r="E476" s="113" t="s">
        <v>192</v>
      </c>
      <c r="F476" s="113" t="s">
        <v>1030</v>
      </c>
      <c r="G476" s="113" t="s">
        <v>193</v>
      </c>
      <c r="H476" s="113" t="s">
        <v>204</v>
      </c>
      <c r="I476" s="114" t="s">
        <v>190</v>
      </c>
      <c r="J476" s="113"/>
    </row>
    <row r="477" spans="1:10" x14ac:dyDescent="0.3">
      <c r="A477" s="112" t="s">
        <v>189</v>
      </c>
      <c r="B477" s="113" t="s">
        <v>190</v>
      </c>
      <c r="C477" s="113" t="s">
        <v>1031</v>
      </c>
      <c r="D477" s="113" t="s">
        <v>120</v>
      </c>
      <c r="E477" s="113" t="s">
        <v>192</v>
      </c>
      <c r="F477" s="113" t="s">
        <v>1032</v>
      </c>
      <c r="G477" s="113" t="s">
        <v>193</v>
      </c>
      <c r="H477" s="113" t="s">
        <v>204</v>
      </c>
      <c r="I477" s="114" t="s">
        <v>190</v>
      </c>
      <c r="J477" s="113"/>
    </row>
    <row r="478" spans="1:10" x14ac:dyDescent="0.3">
      <c r="A478" s="112" t="s">
        <v>189</v>
      </c>
      <c r="B478" s="113" t="s">
        <v>190</v>
      </c>
      <c r="C478" s="113" t="s">
        <v>1033</v>
      </c>
      <c r="D478" s="113" t="s">
        <v>132</v>
      </c>
      <c r="E478" s="113" t="s">
        <v>192</v>
      </c>
      <c r="F478" s="113" t="s">
        <v>227</v>
      </c>
      <c r="G478" s="113" t="s">
        <v>193</v>
      </c>
      <c r="H478" s="113" t="s">
        <v>194</v>
      </c>
      <c r="I478" s="114" t="s">
        <v>190</v>
      </c>
      <c r="J478" s="113"/>
    </row>
    <row r="479" spans="1:10" x14ac:dyDescent="0.3">
      <c r="A479" s="112" t="s">
        <v>189</v>
      </c>
      <c r="B479" s="113" t="s">
        <v>232</v>
      </c>
      <c r="C479" s="113" t="s">
        <v>1034</v>
      </c>
      <c r="D479" s="113" t="s">
        <v>120</v>
      </c>
      <c r="E479" s="113" t="s">
        <v>192</v>
      </c>
      <c r="F479" s="113" t="s">
        <v>1035</v>
      </c>
      <c r="G479" s="113" t="s">
        <v>193</v>
      </c>
      <c r="H479" s="113" t="s">
        <v>201</v>
      </c>
      <c r="I479" s="114" t="s">
        <v>190</v>
      </c>
      <c r="J479" s="113"/>
    </row>
    <row r="480" spans="1:10" x14ac:dyDescent="0.3">
      <c r="A480" s="112" t="s">
        <v>189</v>
      </c>
      <c r="B480" s="113" t="s">
        <v>190</v>
      </c>
      <c r="C480" s="113" t="s">
        <v>1036</v>
      </c>
      <c r="D480" s="113" t="s">
        <v>120</v>
      </c>
      <c r="E480" s="113" t="s">
        <v>192</v>
      </c>
      <c r="F480" s="113" t="s">
        <v>1037</v>
      </c>
      <c r="G480" s="113" t="s">
        <v>248</v>
      </c>
      <c r="H480" s="113" t="s">
        <v>204</v>
      </c>
      <c r="I480" s="114" t="s">
        <v>190</v>
      </c>
      <c r="J480" s="113"/>
    </row>
    <row r="481" spans="1:10" x14ac:dyDescent="0.3">
      <c r="A481" s="112" t="s">
        <v>189</v>
      </c>
      <c r="B481" s="113" t="s">
        <v>190</v>
      </c>
      <c r="C481" s="113" t="s">
        <v>1036</v>
      </c>
      <c r="D481" s="113" t="s">
        <v>120</v>
      </c>
      <c r="E481" s="113" t="s">
        <v>192</v>
      </c>
      <c r="F481" s="113" t="s">
        <v>1038</v>
      </c>
      <c r="G481" s="113" t="s">
        <v>193</v>
      </c>
      <c r="H481" s="113" t="s">
        <v>194</v>
      </c>
      <c r="I481" s="114" t="s">
        <v>190</v>
      </c>
      <c r="J481" s="113"/>
    </row>
    <row r="482" spans="1:10" x14ac:dyDescent="0.3">
      <c r="A482" s="112" t="s">
        <v>189</v>
      </c>
      <c r="B482" s="113" t="s">
        <v>698</v>
      </c>
      <c r="C482" s="113" t="s">
        <v>1039</v>
      </c>
      <c r="D482" s="113" t="s">
        <v>120</v>
      </c>
      <c r="E482" s="113" t="s">
        <v>192</v>
      </c>
      <c r="F482" s="113" t="s">
        <v>1040</v>
      </c>
      <c r="G482" s="113" t="s">
        <v>193</v>
      </c>
      <c r="H482" s="113" t="s">
        <v>201</v>
      </c>
      <c r="I482" s="114" t="s">
        <v>190</v>
      </c>
      <c r="J482" s="113"/>
    </row>
    <row r="483" spans="1:10" x14ac:dyDescent="0.3">
      <c r="A483" s="112" t="s">
        <v>189</v>
      </c>
      <c r="B483" s="113" t="s">
        <v>698</v>
      </c>
      <c r="C483" s="113" t="s">
        <v>1041</v>
      </c>
      <c r="D483" s="113" t="s">
        <v>56</v>
      </c>
      <c r="E483" s="113" t="s">
        <v>192</v>
      </c>
      <c r="F483" s="113" t="s">
        <v>1040</v>
      </c>
      <c r="G483" s="113" t="s">
        <v>193</v>
      </c>
      <c r="H483" s="113" t="s">
        <v>201</v>
      </c>
      <c r="I483" s="114" t="s">
        <v>190</v>
      </c>
      <c r="J483" s="113"/>
    </row>
    <row r="484" spans="1:10" x14ac:dyDescent="0.3">
      <c r="A484" s="112" t="s">
        <v>189</v>
      </c>
      <c r="B484" s="113" t="s">
        <v>190</v>
      </c>
      <c r="C484" s="113" t="s">
        <v>1041</v>
      </c>
      <c r="D484" s="113" t="s">
        <v>120</v>
      </c>
      <c r="E484" s="113" t="s">
        <v>192</v>
      </c>
      <c r="F484" s="113" t="s">
        <v>1042</v>
      </c>
      <c r="G484" s="113" t="s">
        <v>193</v>
      </c>
      <c r="H484" s="113" t="s">
        <v>194</v>
      </c>
      <c r="I484" s="114" t="s">
        <v>190</v>
      </c>
      <c r="J484" s="113"/>
    </row>
    <row r="485" spans="1:10" x14ac:dyDescent="0.3">
      <c r="A485" s="112" t="s">
        <v>264</v>
      </c>
      <c r="B485" s="113" t="s">
        <v>264</v>
      </c>
      <c r="C485" s="113" t="s">
        <v>1043</v>
      </c>
      <c r="D485" s="113" t="s">
        <v>1044</v>
      </c>
      <c r="E485" s="113" t="s">
        <v>192</v>
      </c>
      <c r="F485" s="113" t="s">
        <v>1045</v>
      </c>
      <c r="G485" s="113" t="s">
        <v>193</v>
      </c>
      <c r="H485" s="113" t="s">
        <v>201</v>
      </c>
      <c r="I485" s="114" t="s">
        <v>190</v>
      </c>
      <c r="J485" s="113"/>
    </row>
    <row r="486" spans="1:10" x14ac:dyDescent="0.3">
      <c r="A486" s="112" t="s">
        <v>69</v>
      </c>
      <c r="B486" s="113" t="s">
        <v>229</v>
      </c>
      <c r="C486" s="113" t="s">
        <v>1046</v>
      </c>
      <c r="D486" s="113" t="s">
        <v>14</v>
      </c>
      <c r="E486" s="113" t="s">
        <v>192</v>
      </c>
      <c r="F486" s="113" t="s">
        <v>1047</v>
      </c>
      <c r="G486" s="113" t="s">
        <v>193</v>
      </c>
      <c r="H486" s="113" t="s">
        <v>204</v>
      </c>
      <c r="I486" s="114" t="s">
        <v>190</v>
      </c>
      <c r="J486" s="113"/>
    </row>
    <row r="487" spans="1:10" ht="100.8" x14ac:dyDescent="0.3">
      <c r="A487" s="112" t="s">
        <v>189</v>
      </c>
      <c r="B487" s="113" t="s">
        <v>190</v>
      </c>
      <c r="C487" s="113" t="s">
        <v>1048</v>
      </c>
      <c r="D487" s="113" t="s">
        <v>1029</v>
      </c>
      <c r="E487" s="113" t="s">
        <v>192</v>
      </c>
      <c r="F487" s="113" t="s">
        <v>1049</v>
      </c>
      <c r="G487" s="113" t="s">
        <v>193</v>
      </c>
      <c r="H487" s="113" t="s">
        <v>194</v>
      </c>
      <c r="I487" s="114" t="s">
        <v>1050</v>
      </c>
      <c r="J487" s="113"/>
    </row>
    <row r="488" spans="1:10" x14ac:dyDescent="0.3">
      <c r="A488" s="112" t="s">
        <v>264</v>
      </c>
      <c r="B488" s="113" t="s">
        <v>264</v>
      </c>
      <c r="C488" s="113" t="s">
        <v>1048</v>
      </c>
      <c r="D488" s="113" t="s">
        <v>16</v>
      </c>
      <c r="E488" s="113" t="s">
        <v>192</v>
      </c>
      <c r="F488" s="113" t="s">
        <v>1051</v>
      </c>
      <c r="G488" s="113" t="s">
        <v>193</v>
      </c>
      <c r="H488" s="113" t="s">
        <v>201</v>
      </c>
      <c r="I488" s="114" t="s">
        <v>190</v>
      </c>
      <c r="J488" s="113"/>
    </row>
    <row r="489" spans="1:10" x14ac:dyDescent="0.3">
      <c r="A489" s="112" t="s">
        <v>264</v>
      </c>
      <c r="B489" s="113" t="s">
        <v>264</v>
      </c>
      <c r="C489" s="113" t="s">
        <v>1052</v>
      </c>
      <c r="D489" s="113" t="s">
        <v>1053</v>
      </c>
      <c r="E489" s="113" t="s">
        <v>192</v>
      </c>
      <c r="F489" s="113" t="s">
        <v>1054</v>
      </c>
      <c r="G489" s="113" t="s">
        <v>193</v>
      </c>
      <c r="H489" s="113" t="s">
        <v>204</v>
      </c>
      <c r="I489" s="114" t="s">
        <v>190</v>
      </c>
      <c r="J489" s="113"/>
    </row>
    <row r="490" spans="1:10" x14ac:dyDescent="0.3">
      <c r="A490" s="112" t="s">
        <v>189</v>
      </c>
      <c r="B490" s="113" t="s">
        <v>190</v>
      </c>
      <c r="C490" s="113" t="s">
        <v>1055</v>
      </c>
      <c r="D490" s="113" t="s">
        <v>306</v>
      </c>
      <c r="E490" s="113" t="s">
        <v>192</v>
      </c>
      <c r="F490" s="113" t="s">
        <v>1056</v>
      </c>
      <c r="G490" s="113" t="s">
        <v>193</v>
      </c>
      <c r="H490" s="113" t="s">
        <v>194</v>
      </c>
      <c r="I490" s="114" t="s">
        <v>190</v>
      </c>
      <c r="J490" s="113"/>
    </row>
    <row r="491" spans="1:10" x14ac:dyDescent="0.3">
      <c r="A491" s="112" t="s">
        <v>264</v>
      </c>
      <c r="B491" s="113" t="s">
        <v>264</v>
      </c>
      <c r="C491" s="113" t="s">
        <v>1057</v>
      </c>
      <c r="D491" s="113" t="s">
        <v>1053</v>
      </c>
      <c r="E491" s="113" t="s">
        <v>192</v>
      </c>
      <c r="F491" s="113" t="s">
        <v>1058</v>
      </c>
      <c r="G491" s="113" t="s">
        <v>193</v>
      </c>
      <c r="H491" s="113" t="s">
        <v>201</v>
      </c>
      <c r="I491" s="114" t="s">
        <v>190</v>
      </c>
      <c r="J491" s="113"/>
    </row>
    <row r="492" spans="1:10" x14ac:dyDescent="0.3">
      <c r="A492" s="112" t="s">
        <v>264</v>
      </c>
      <c r="B492" s="113" t="s">
        <v>264</v>
      </c>
      <c r="C492" s="113" t="s">
        <v>1059</v>
      </c>
      <c r="D492" s="113" t="s">
        <v>306</v>
      </c>
      <c r="E492" s="113" t="s">
        <v>192</v>
      </c>
      <c r="F492" s="113" t="s">
        <v>1060</v>
      </c>
      <c r="G492" s="113" t="s">
        <v>193</v>
      </c>
      <c r="H492" s="113" t="s">
        <v>204</v>
      </c>
      <c r="I492" s="114" t="s">
        <v>190</v>
      </c>
      <c r="J492" s="113"/>
    </row>
    <row r="493" spans="1:10" x14ac:dyDescent="0.3">
      <c r="A493" s="112" t="s">
        <v>189</v>
      </c>
      <c r="B493" s="113" t="s">
        <v>190</v>
      </c>
      <c r="C493" s="113" t="s">
        <v>1061</v>
      </c>
      <c r="D493" s="113" t="s">
        <v>56</v>
      </c>
      <c r="E493" s="113" t="s">
        <v>192</v>
      </c>
      <c r="F493" s="113" t="s">
        <v>1062</v>
      </c>
      <c r="G493" s="113" t="s">
        <v>193</v>
      </c>
      <c r="H493" s="113" t="s">
        <v>194</v>
      </c>
      <c r="I493" s="114" t="s">
        <v>190</v>
      </c>
      <c r="J493" s="113"/>
    </row>
    <row r="494" spans="1:10" x14ac:dyDescent="0.3">
      <c r="A494" s="112" t="s">
        <v>189</v>
      </c>
      <c r="B494" s="113" t="s">
        <v>190</v>
      </c>
      <c r="C494" s="113" t="s">
        <v>1063</v>
      </c>
      <c r="D494" s="113" t="s">
        <v>56</v>
      </c>
      <c r="E494" s="113" t="s">
        <v>192</v>
      </c>
      <c r="F494" s="113" t="s">
        <v>1064</v>
      </c>
      <c r="G494" s="113" t="s">
        <v>248</v>
      </c>
      <c r="H494" s="113" t="s">
        <v>201</v>
      </c>
      <c r="I494" s="114" t="s">
        <v>190</v>
      </c>
      <c r="J494" s="113"/>
    </row>
    <row r="495" spans="1:10" x14ac:dyDescent="0.3">
      <c r="A495" s="112" t="s">
        <v>264</v>
      </c>
      <c r="B495" s="113" t="s">
        <v>264</v>
      </c>
      <c r="C495" s="113" t="s">
        <v>1065</v>
      </c>
      <c r="D495" s="113" t="s">
        <v>56</v>
      </c>
      <c r="E495" s="113" t="s">
        <v>192</v>
      </c>
      <c r="F495" s="113" t="s">
        <v>1066</v>
      </c>
      <c r="G495" s="113" t="s">
        <v>193</v>
      </c>
      <c r="H495" s="113" t="s">
        <v>204</v>
      </c>
      <c r="I495" s="114" t="s">
        <v>190</v>
      </c>
      <c r="J495" s="113"/>
    </row>
    <row r="496" spans="1:10" x14ac:dyDescent="0.3">
      <c r="A496" s="112" t="s">
        <v>189</v>
      </c>
      <c r="B496" s="113" t="s">
        <v>190</v>
      </c>
      <c r="C496" s="113" t="s">
        <v>1067</v>
      </c>
      <c r="D496" s="113" t="s">
        <v>120</v>
      </c>
      <c r="E496" s="113" t="s">
        <v>192</v>
      </c>
      <c r="F496" s="113" t="s">
        <v>1068</v>
      </c>
      <c r="G496" s="113" t="s">
        <v>193</v>
      </c>
      <c r="H496" s="113" t="s">
        <v>194</v>
      </c>
      <c r="I496" s="114" t="s">
        <v>190</v>
      </c>
      <c r="J496" s="113"/>
    </row>
    <row r="497" spans="1:10" x14ac:dyDescent="0.3">
      <c r="A497" s="112" t="s">
        <v>69</v>
      </c>
      <c r="B497" s="113" t="s">
        <v>229</v>
      </c>
      <c r="C497" s="113" t="s">
        <v>1067</v>
      </c>
      <c r="D497" s="113" t="s">
        <v>120</v>
      </c>
      <c r="E497" s="113" t="s">
        <v>192</v>
      </c>
      <c r="F497" s="113" t="s">
        <v>1069</v>
      </c>
      <c r="G497" s="113" t="s">
        <v>193</v>
      </c>
      <c r="H497" s="113" t="s">
        <v>1070</v>
      </c>
      <c r="I497" s="114" t="s">
        <v>190</v>
      </c>
      <c r="J497" s="113"/>
    </row>
    <row r="498" spans="1:10" x14ac:dyDescent="0.3">
      <c r="A498" s="112" t="s">
        <v>264</v>
      </c>
      <c r="B498" s="113" t="s">
        <v>264</v>
      </c>
      <c r="C498" s="113" t="s">
        <v>1071</v>
      </c>
      <c r="D498" s="113" t="s">
        <v>1072</v>
      </c>
      <c r="E498" s="113" t="s">
        <v>192</v>
      </c>
      <c r="F498" s="113" t="s">
        <v>1073</v>
      </c>
      <c r="G498" s="113" t="s">
        <v>193</v>
      </c>
      <c r="H498" s="113" t="s">
        <v>204</v>
      </c>
      <c r="I498" s="114" t="s">
        <v>190</v>
      </c>
      <c r="J498" s="113"/>
    </row>
    <row r="499" spans="1:10" x14ac:dyDescent="0.3">
      <c r="A499" s="112" t="s">
        <v>189</v>
      </c>
      <c r="B499" s="113" t="s">
        <v>190</v>
      </c>
      <c r="C499" s="113" t="s">
        <v>1071</v>
      </c>
      <c r="D499" s="113" t="s">
        <v>120</v>
      </c>
      <c r="E499" s="113" t="s">
        <v>192</v>
      </c>
      <c r="F499" s="113" t="s">
        <v>1074</v>
      </c>
      <c r="G499" s="113" t="s">
        <v>193</v>
      </c>
      <c r="H499" s="113" t="s">
        <v>194</v>
      </c>
      <c r="I499" s="114" t="s">
        <v>190</v>
      </c>
      <c r="J499" s="113"/>
    </row>
    <row r="500" spans="1:10" x14ac:dyDescent="0.3">
      <c r="A500" s="112" t="s">
        <v>189</v>
      </c>
      <c r="B500" s="113" t="s">
        <v>229</v>
      </c>
      <c r="C500" s="113" t="s">
        <v>1075</v>
      </c>
      <c r="D500" s="113" t="s">
        <v>120</v>
      </c>
      <c r="E500" s="113" t="s">
        <v>192</v>
      </c>
      <c r="F500" s="113" t="s">
        <v>1076</v>
      </c>
      <c r="G500" s="113" t="s">
        <v>193</v>
      </c>
      <c r="H500" s="113" t="s">
        <v>201</v>
      </c>
      <c r="I500" s="114" t="s">
        <v>190</v>
      </c>
      <c r="J500" s="113"/>
    </row>
    <row r="501" spans="1:10" ht="100.8" x14ac:dyDescent="0.3">
      <c r="A501" s="112" t="s">
        <v>189</v>
      </c>
      <c r="B501" s="113" t="s">
        <v>190</v>
      </c>
      <c r="C501" s="113" t="s">
        <v>1077</v>
      </c>
      <c r="D501" s="113" t="s">
        <v>120</v>
      </c>
      <c r="E501" s="113" t="s">
        <v>192</v>
      </c>
      <c r="F501" s="113" t="s">
        <v>1078</v>
      </c>
      <c r="G501" s="113" t="s">
        <v>193</v>
      </c>
      <c r="H501" s="113" t="s">
        <v>204</v>
      </c>
      <c r="I501" s="114" t="s">
        <v>1079</v>
      </c>
      <c r="J501" s="113"/>
    </row>
    <row r="502" spans="1:10" x14ac:dyDescent="0.3">
      <c r="A502" s="112" t="s">
        <v>264</v>
      </c>
      <c r="B502" s="113" t="s">
        <v>264</v>
      </c>
      <c r="C502" s="113" t="s">
        <v>1080</v>
      </c>
      <c r="D502" s="113" t="s">
        <v>769</v>
      </c>
      <c r="E502" s="113" t="s">
        <v>192</v>
      </c>
      <c r="F502" s="113" t="s">
        <v>1081</v>
      </c>
      <c r="G502" s="113" t="s">
        <v>193</v>
      </c>
      <c r="H502" s="113" t="s">
        <v>204</v>
      </c>
      <c r="I502" s="114" t="s">
        <v>190</v>
      </c>
      <c r="J502" s="113"/>
    </row>
    <row r="503" spans="1:10" x14ac:dyDescent="0.3">
      <c r="A503" s="112" t="s">
        <v>189</v>
      </c>
      <c r="B503" s="113" t="s">
        <v>190</v>
      </c>
      <c r="C503" s="113" t="s">
        <v>1082</v>
      </c>
      <c r="D503" s="113" t="s">
        <v>633</v>
      </c>
      <c r="E503" s="113" t="s">
        <v>192</v>
      </c>
      <c r="F503" s="113" t="s">
        <v>1083</v>
      </c>
      <c r="G503" s="113" t="s">
        <v>193</v>
      </c>
      <c r="H503" s="113" t="s">
        <v>194</v>
      </c>
      <c r="I503" s="114" t="s">
        <v>190</v>
      </c>
      <c r="J503" s="113"/>
    </row>
    <row r="504" spans="1:10" ht="115.2" x14ac:dyDescent="0.3">
      <c r="A504" s="112" t="s">
        <v>189</v>
      </c>
      <c r="B504" s="113" t="s">
        <v>190</v>
      </c>
      <c r="C504" s="113" t="s">
        <v>1084</v>
      </c>
      <c r="D504" s="113" t="s">
        <v>120</v>
      </c>
      <c r="E504" s="113" t="s">
        <v>192</v>
      </c>
      <c r="F504" s="113" t="s">
        <v>1085</v>
      </c>
      <c r="G504" s="113" t="s">
        <v>193</v>
      </c>
      <c r="H504" s="113" t="s">
        <v>201</v>
      </c>
      <c r="I504" s="114" t="s">
        <v>1086</v>
      </c>
      <c r="J504" s="113"/>
    </row>
    <row r="505" spans="1:10" x14ac:dyDescent="0.3">
      <c r="A505" s="112" t="s">
        <v>264</v>
      </c>
      <c r="B505" s="113" t="s">
        <v>264</v>
      </c>
      <c r="C505" s="113" t="s">
        <v>1087</v>
      </c>
      <c r="D505" s="113" t="s">
        <v>132</v>
      </c>
      <c r="E505" s="113" t="s">
        <v>192</v>
      </c>
      <c r="F505" s="113" t="s">
        <v>1088</v>
      </c>
      <c r="G505" s="113" t="s">
        <v>193</v>
      </c>
      <c r="H505" s="113" t="s">
        <v>204</v>
      </c>
      <c r="I505" s="114" t="s">
        <v>190</v>
      </c>
      <c r="J505" s="113"/>
    </row>
    <row r="506" spans="1:10" x14ac:dyDescent="0.3">
      <c r="A506" s="112" t="s">
        <v>69</v>
      </c>
      <c r="B506" s="113" t="s">
        <v>190</v>
      </c>
      <c r="C506" s="113" t="s">
        <v>1089</v>
      </c>
      <c r="D506" s="113" t="s">
        <v>80</v>
      </c>
      <c r="E506" s="113" t="s">
        <v>192</v>
      </c>
      <c r="F506" s="113" t="s">
        <v>1090</v>
      </c>
      <c r="G506" s="113" t="s">
        <v>193</v>
      </c>
      <c r="H506" s="113" t="s">
        <v>194</v>
      </c>
      <c r="I506" s="114" t="s">
        <v>190</v>
      </c>
      <c r="J506" s="113"/>
    </row>
    <row r="507" spans="1:10" x14ac:dyDescent="0.3">
      <c r="A507" s="112" t="s">
        <v>189</v>
      </c>
      <c r="B507" s="113" t="s">
        <v>190</v>
      </c>
      <c r="C507" s="113" t="s">
        <v>1091</v>
      </c>
      <c r="D507" s="113" t="s">
        <v>120</v>
      </c>
      <c r="E507" s="113" t="s">
        <v>192</v>
      </c>
      <c r="F507" s="113" t="s">
        <v>1092</v>
      </c>
      <c r="G507" s="113" t="s">
        <v>193</v>
      </c>
      <c r="H507" s="113" t="s">
        <v>201</v>
      </c>
      <c r="I507" s="114" t="s">
        <v>190</v>
      </c>
      <c r="J507" s="113"/>
    </row>
    <row r="508" spans="1:10" x14ac:dyDescent="0.3">
      <c r="A508" s="112" t="s">
        <v>264</v>
      </c>
      <c r="B508" s="113" t="s">
        <v>264</v>
      </c>
      <c r="C508" s="113" t="s">
        <v>1093</v>
      </c>
      <c r="D508" s="113" t="s">
        <v>633</v>
      </c>
      <c r="E508" s="113" t="s">
        <v>192</v>
      </c>
      <c r="F508" s="113" t="s">
        <v>1094</v>
      </c>
      <c r="G508" s="113" t="s">
        <v>193</v>
      </c>
      <c r="H508" s="113" t="s">
        <v>204</v>
      </c>
      <c r="I508" s="114" t="s">
        <v>190</v>
      </c>
      <c r="J508" s="113"/>
    </row>
    <row r="509" spans="1:10" x14ac:dyDescent="0.3">
      <c r="A509" s="112" t="s">
        <v>189</v>
      </c>
      <c r="B509" s="113" t="s">
        <v>190</v>
      </c>
      <c r="C509" s="113" t="s">
        <v>1095</v>
      </c>
      <c r="D509" s="113" t="s">
        <v>120</v>
      </c>
      <c r="E509" s="113" t="s">
        <v>192</v>
      </c>
      <c r="F509" s="113" t="s">
        <v>1096</v>
      </c>
      <c r="G509" s="113" t="s">
        <v>193</v>
      </c>
      <c r="H509" s="113" t="s">
        <v>204</v>
      </c>
      <c r="I509" s="114" t="s">
        <v>190</v>
      </c>
      <c r="J509" s="113"/>
    </row>
    <row r="510" spans="1:10" x14ac:dyDescent="0.3">
      <c r="A510" s="115" t="s">
        <v>189</v>
      </c>
      <c r="B510" s="116" t="s">
        <v>190</v>
      </c>
      <c r="C510" s="116" t="s">
        <v>1097</v>
      </c>
      <c r="D510" s="116" t="s">
        <v>120</v>
      </c>
      <c r="E510" s="116" t="s">
        <v>192</v>
      </c>
      <c r="F510" s="116" t="s">
        <v>1098</v>
      </c>
      <c r="G510" s="116" t="s">
        <v>248</v>
      </c>
      <c r="H510" s="116" t="s">
        <v>194</v>
      </c>
      <c r="I510" s="117" t="s">
        <v>190</v>
      </c>
      <c r="J510" s="116"/>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8" tint="-0.249977111117893"/>
  </sheetPr>
  <dimension ref="A1:BO133"/>
  <sheetViews>
    <sheetView showGridLines="0" topLeftCell="A8" zoomScale="55" zoomScaleNormal="55" workbookViewId="0">
      <selection activeCell="B38" sqref="B38:L38"/>
    </sheetView>
  </sheetViews>
  <sheetFormatPr defaultColWidth="9.109375" defaultRowHeight="25.5" customHeight="1" x14ac:dyDescent="0.45"/>
  <cols>
    <col min="1" max="1" width="3.6640625" style="14" customWidth="1"/>
    <col min="2" max="2" width="27.88671875" style="14" bestFit="1" customWidth="1"/>
    <col min="3" max="3" width="47.109375" style="18" bestFit="1" customWidth="1"/>
    <col min="4" max="4" width="34.109375" style="18" bestFit="1" customWidth="1"/>
    <col min="5" max="5" width="41.109375" style="18" bestFit="1" customWidth="1"/>
    <col min="6" max="6" width="33.44140625" style="18" bestFit="1" customWidth="1"/>
    <col min="7" max="7" width="20.21875" style="18" bestFit="1" customWidth="1"/>
    <col min="8" max="8" width="120.109375" style="18" bestFit="1" customWidth="1"/>
    <col min="9" max="9" width="20.109375" style="18" bestFit="1" customWidth="1"/>
    <col min="10" max="10" width="25.44140625" bestFit="1" customWidth="1"/>
    <col min="11" max="11" width="16.109375" style="18" bestFit="1" customWidth="1"/>
    <col min="12" max="12" width="29.44140625" style="18" bestFit="1" customWidth="1"/>
    <col min="13" max="13" width="47.109375" style="18" bestFit="1" customWidth="1"/>
    <col min="14" max="14" width="27.21875" style="18" bestFit="1" customWidth="1"/>
    <col min="15" max="15" width="28.44140625" style="20" bestFit="1" customWidth="1"/>
    <col min="16" max="16" width="30" style="20" bestFit="1" customWidth="1"/>
    <col min="17" max="17" width="16.109375" style="53" bestFit="1" customWidth="1"/>
    <col min="18" max="18" width="18.88671875" style="20" bestFit="1" customWidth="1"/>
    <col min="19" max="19" width="26.6640625" style="20" bestFit="1" customWidth="1"/>
    <col min="20" max="20" width="32.88671875" style="20" bestFit="1" customWidth="1"/>
    <col min="21" max="21" width="29.6640625" style="20" bestFit="1" customWidth="1"/>
    <col min="22" max="22" width="29.44140625" style="20" bestFit="1" customWidth="1"/>
    <col min="23" max="23" width="25.6640625" style="52" bestFit="1" customWidth="1"/>
    <col min="24" max="25" width="27.6640625" style="14" bestFit="1" customWidth="1"/>
    <col min="26" max="26" width="28" style="14" bestFit="1" customWidth="1"/>
    <col min="27" max="27" width="19.88671875" style="14" bestFit="1" customWidth="1"/>
    <col min="28" max="28" width="20.88671875" style="14" bestFit="1" customWidth="1"/>
    <col min="29" max="29" width="18.33203125" style="14" bestFit="1" customWidth="1"/>
    <col min="30" max="30" width="21" style="14" bestFit="1" customWidth="1"/>
    <col min="31" max="31" width="18.33203125" style="14" bestFit="1" customWidth="1"/>
    <col min="32" max="32" width="21" style="14" bestFit="1" customWidth="1"/>
    <col min="33" max="33" width="18.33203125" style="14" bestFit="1" customWidth="1"/>
    <col min="34" max="34" width="20.88671875" style="14" bestFit="1" customWidth="1"/>
    <col min="35" max="35" width="18.109375" style="14" bestFit="1" customWidth="1"/>
    <col min="36" max="36" width="20.6640625" style="14" bestFit="1" customWidth="1"/>
    <col min="37" max="37" width="10.6640625" style="14" bestFit="1" customWidth="1"/>
    <col min="38" max="38" width="15.6640625" style="14" bestFit="1" customWidth="1"/>
    <col min="39" max="39" width="17.88671875" style="14" bestFit="1" customWidth="1"/>
    <col min="40" max="40" width="20.6640625" style="14" bestFit="1" customWidth="1"/>
    <col min="41" max="41" width="9.109375" style="14" bestFit="1" customWidth="1"/>
    <col min="42" max="42" width="11.6640625" style="14" bestFit="1" customWidth="1"/>
    <col min="43" max="43" width="10.6640625" style="14" bestFit="1" customWidth="1"/>
    <col min="44" max="44" width="19.44140625" style="14" bestFit="1" customWidth="1"/>
    <col min="45" max="45" width="23" style="14" bestFit="1" customWidth="1"/>
    <col min="46" max="46" width="18.88671875" style="14" bestFit="1" customWidth="1"/>
    <col min="47" max="47" width="22.33203125" style="14" bestFit="1" customWidth="1"/>
    <col min="48" max="48" width="18.6640625" style="14" bestFit="1" customWidth="1"/>
    <col min="49" max="49" width="22.33203125" style="14" bestFit="1" customWidth="1"/>
    <col min="50" max="50" width="19.44140625" style="14" bestFit="1" customWidth="1"/>
    <col min="51" max="51" width="23" style="14" bestFit="1" customWidth="1"/>
    <col min="52" max="52" width="18.88671875" style="14" bestFit="1" customWidth="1"/>
    <col min="53" max="53" width="22.33203125" style="14" bestFit="1" customWidth="1"/>
    <col min="54" max="54" width="18.88671875" style="14" bestFit="1" customWidth="1"/>
    <col min="55" max="55" width="12.33203125" style="14" bestFit="1" customWidth="1"/>
    <col min="56" max="56" width="22.33203125" style="14" bestFit="1" customWidth="1"/>
    <col min="57" max="57" width="18.88671875" style="14" bestFit="1" customWidth="1"/>
    <col min="58" max="58" width="22.33203125" style="14" bestFit="1" customWidth="1"/>
    <col min="59" max="59" width="19" style="14" bestFit="1" customWidth="1"/>
    <col min="60" max="60" width="22.44140625" style="14" bestFit="1" customWidth="1"/>
    <col min="61" max="61" width="19" style="14" bestFit="1" customWidth="1"/>
    <col min="62" max="62" width="22.44140625" style="14" bestFit="1" customWidth="1"/>
    <col min="63" max="63" width="18.88671875" style="14" bestFit="1" customWidth="1"/>
    <col min="64" max="64" width="22.33203125" style="14" bestFit="1" customWidth="1"/>
    <col min="65" max="65" width="9.109375" style="14"/>
    <col min="66" max="66" width="11.6640625" style="14" bestFit="1" customWidth="1"/>
    <col min="67" max="67" width="13.6640625" style="14" bestFit="1" customWidth="1"/>
    <col min="68" max="16384" width="9.109375" style="14"/>
  </cols>
  <sheetData>
    <row r="1" spans="2:43" ht="16.5" hidden="1" customHeight="1" x14ac:dyDescent="0.45">
      <c r="C1" s="14"/>
      <c r="D1" s="14"/>
      <c r="E1" s="14"/>
      <c r="F1" s="14"/>
      <c r="G1" s="14"/>
      <c r="H1" s="14"/>
      <c r="I1" s="14"/>
      <c r="K1" s="14"/>
      <c r="L1" s="14"/>
      <c r="M1" s="14"/>
      <c r="N1" s="14"/>
      <c r="O1" s="14"/>
      <c r="P1" s="14"/>
      <c r="Q1" s="14"/>
      <c r="R1" s="14"/>
      <c r="S1" s="14"/>
      <c r="T1" s="14"/>
      <c r="U1" s="14"/>
      <c r="V1" s="14"/>
      <c r="W1" s="26"/>
    </row>
    <row r="2" spans="2:43" ht="16.5" hidden="1" customHeight="1" x14ac:dyDescent="0.45">
      <c r="C2" s="14"/>
      <c r="D2" s="14"/>
      <c r="E2" s="14"/>
      <c r="F2" s="14"/>
      <c r="G2" s="14"/>
      <c r="H2" s="14"/>
      <c r="I2" s="14"/>
      <c r="K2" s="14"/>
      <c r="L2" s="14"/>
      <c r="M2" s="14"/>
      <c r="N2" s="14"/>
      <c r="O2" s="14"/>
      <c r="P2" s="14"/>
      <c r="Q2" s="14"/>
      <c r="R2" s="14"/>
      <c r="S2" s="14"/>
      <c r="T2" s="14"/>
      <c r="U2" s="14"/>
      <c r="V2" s="14"/>
      <c r="W2" s="26"/>
    </row>
    <row r="3" spans="2:43" ht="16.5" hidden="1" customHeight="1" x14ac:dyDescent="0.45">
      <c r="C3" s="14"/>
      <c r="D3" s="14"/>
      <c r="E3" s="14"/>
      <c r="F3" s="14"/>
      <c r="G3" s="14"/>
      <c r="H3" s="14"/>
      <c r="I3" s="14"/>
      <c r="K3" s="14"/>
      <c r="L3" s="14"/>
      <c r="M3" s="14"/>
      <c r="N3" s="14"/>
      <c r="O3" s="14"/>
      <c r="P3" s="14"/>
      <c r="Q3" s="14"/>
      <c r="R3" s="14"/>
      <c r="S3" s="14"/>
      <c r="T3" s="14"/>
      <c r="U3" s="14"/>
      <c r="V3" s="14"/>
      <c r="W3" s="26"/>
    </row>
    <row r="4" spans="2:43" ht="16.5" hidden="1" customHeight="1" x14ac:dyDescent="0.45">
      <c r="C4" s="14"/>
      <c r="D4" s="14"/>
      <c r="E4" s="14"/>
      <c r="F4" s="14"/>
      <c r="G4" s="14"/>
      <c r="H4" s="14"/>
      <c r="I4" s="14"/>
      <c r="K4" s="14"/>
      <c r="L4" s="14"/>
      <c r="M4" s="14"/>
      <c r="N4" s="14"/>
      <c r="O4" s="14"/>
      <c r="P4" s="14"/>
      <c r="Q4" s="14"/>
      <c r="R4" s="14"/>
      <c r="S4" s="14"/>
      <c r="T4" s="14"/>
      <c r="U4" s="14"/>
      <c r="V4" s="14"/>
      <c r="W4" s="26"/>
    </row>
    <row r="5" spans="2:43" ht="16.5" hidden="1" customHeight="1" x14ac:dyDescent="0.45">
      <c r="C5" s="14"/>
      <c r="D5" s="14"/>
      <c r="E5" s="14"/>
      <c r="F5" s="14"/>
      <c r="G5" s="14"/>
      <c r="H5" s="14"/>
      <c r="I5" s="14"/>
      <c r="K5" s="14"/>
      <c r="L5" s="14"/>
      <c r="M5" s="14"/>
      <c r="N5" s="14"/>
      <c r="O5" s="14"/>
      <c r="P5" s="14"/>
      <c r="Q5" s="14"/>
      <c r="R5" s="14"/>
      <c r="S5" s="14"/>
      <c r="T5" s="14"/>
      <c r="U5" s="14"/>
      <c r="V5" s="14"/>
      <c r="W5" s="26"/>
    </row>
    <row r="6" spans="2:43" ht="18.75" hidden="1" customHeight="1" x14ac:dyDescent="0.45">
      <c r="C6"/>
      <c r="D6"/>
      <c r="E6" s="14"/>
      <c r="F6" s="14"/>
      <c r="G6" s="14"/>
      <c r="H6" s="14"/>
      <c r="I6" s="14"/>
      <c r="K6" s="14"/>
      <c r="L6" s="14"/>
      <c r="M6" s="14"/>
      <c r="N6" s="14"/>
      <c r="O6" s="14"/>
      <c r="P6" s="14"/>
      <c r="Q6" s="14"/>
      <c r="R6" s="14"/>
      <c r="S6" s="14"/>
      <c r="T6" s="14"/>
      <c r="U6" s="14"/>
      <c r="V6" s="14"/>
      <c r="W6" s="26"/>
    </row>
    <row r="7" spans="2:43" ht="17.399999999999999" hidden="1" x14ac:dyDescent="0.45">
      <c r="C7"/>
      <c r="D7"/>
      <c r="E7" s="14"/>
      <c r="F7" s="14"/>
      <c r="G7" s="14"/>
      <c r="H7" s="14"/>
      <c r="I7" s="14"/>
      <c r="K7" s="14"/>
      <c r="L7" s="14"/>
      <c r="M7" s="14"/>
      <c r="N7" s="14"/>
      <c r="O7" s="14"/>
      <c r="P7" s="14"/>
      <c r="Q7" s="14"/>
      <c r="R7" s="14"/>
      <c r="S7" s="14"/>
      <c r="T7" s="14"/>
      <c r="U7" s="14"/>
      <c r="V7" s="14"/>
      <c r="W7" s="26"/>
    </row>
    <row r="8" spans="2:43" ht="17.399999999999999" x14ac:dyDescent="0.45">
      <c r="B8" s="23" t="s">
        <v>0</v>
      </c>
      <c r="C8" s="4" t="s">
        <v>1</v>
      </c>
      <c r="D8"/>
      <c r="E8"/>
      <c r="F8"/>
      <c r="G8"/>
      <c r="H8"/>
      <c r="I8"/>
      <c r="K8"/>
      <c r="L8" s="126" t="s">
        <v>1099</v>
      </c>
      <c r="M8" s="127"/>
      <c r="N8" s="119" t="s">
        <v>0</v>
      </c>
      <c r="O8" s="113"/>
      <c r="P8" s="113"/>
      <c r="Q8" s="113"/>
      <c r="R8"/>
      <c r="S8"/>
      <c r="T8"/>
      <c r="U8"/>
      <c r="V8" s="14"/>
      <c r="W8" s="26"/>
    </row>
    <row r="9" spans="2:43" ht="17.399999999999999" x14ac:dyDescent="0.45">
      <c r="B9" s="23" t="s">
        <v>2</v>
      </c>
      <c r="C9" s="4" t="s">
        <v>3</v>
      </c>
      <c r="D9"/>
      <c r="E9"/>
      <c r="F9"/>
      <c r="G9"/>
      <c r="H9"/>
      <c r="I9"/>
      <c r="K9"/>
      <c r="L9" s="119" t="s">
        <v>26</v>
      </c>
      <c r="M9" s="126" t="s">
        <v>28</v>
      </c>
      <c r="N9" s="113" t="s">
        <v>1</v>
      </c>
      <c r="O9" s="113" t="s">
        <v>119</v>
      </c>
      <c r="P9" s="113" t="s">
        <v>101</v>
      </c>
      <c r="Q9" s="113" t="s">
        <v>18</v>
      </c>
      <c r="R9"/>
      <c r="S9"/>
      <c r="T9"/>
      <c r="U9"/>
      <c r="V9"/>
      <c r="W9"/>
      <c r="X9"/>
      <c r="Y9"/>
      <c r="Z9"/>
      <c r="AA9"/>
      <c r="AB9"/>
      <c r="AC9"/>
      <c r="AD9"/>
      <c r="AE9"/>
      <c r="AF9"/>
      <c r="AG9"/>
      <c r="AH9"/>
      <c r="AI9"/>
      <c r="AJ9"/>
      <c r="AK9"/>
      <c r="AL9"/>
      <c r="AM9"/>
      <c r="AN9"/>
      <c r="AO9"/>
      <c r="AP9"/>
      <c r="AQ9"/>
    </row>
    <row r="10" spans="2:43" ht="17.399999999999999" x14ac:dyDescent="0.45">
      <c r="B10"/>
      <c r="C10"/>
      <c r="D10"/>
      <c r="E10"/>
      <c r="F10"/>
      <c r="G10"/>
      <c r="H10"/>
      <c r="K10"/>
      <c r="L10" s="113" t="s">
        <v>6</v>
      </c>
      <c r="M10" s="128" t="s">
        <v>1100</v>
      </c>
      <c r="N10" s="225">
        <v>2</v>
      </c>
      <c r="O10" s="225">
        <v>1</v>
      </c>
      <c r="P10" s="225">
        <v>0</v>
      </c>
      <c r="Q10" s="225">
        <v>3</v>
      </c>
      <c r="R10"/>
      <c r="S10"/>
      <c r="AB10"/>
      <c r="AC10"/>
      <c r="AD10"/>
      <c r="AE10"/>
      <c r="AF10"/>
      <c r="AG10"/>
      <c r="AH10"/>
      <c r="AI10"/>
      <c r="AJ10"/>
      <c r="AK10"/>
      <c r="AL10"/>
      <c r="AM10"/>
      <c r="AN10"/>
      <c r="AO10"/>
      <c r="AP10"/>
      <c r="AQ10"/>
    </row>
    <row r="11" spans="2:43" ht="17.399999999999999" x14ac:dyDescent="0.45">
      <c r="B11" s="223"/>
      <c r="C11" s="223"/>
      <c r="D11" s="224" t="s">
        <v>4</v>
      </c>
      <c r="E11" s="224" t="s">
        <v>5</v>
      </c>
      <c r="F11" s="223"/>
      <c r="G11" s="223"/>
      <c r="H11"/>
      <c r="I11"/>
      <c r="K11"/>
      <c r="L11" s="113"/>
      <c r="M11" s="128" t="s">
        <v>1101</v>
      </c>
      <c r="N11" s="225">
        <v>2</v>
      </c>
      <c r="O11" s="225">
        <v>0</v>
      </c>
      <c r="P11" s="225">
        <v>0</v>
      </c>
      <c r="Q11" s="225">
        <v>2</v>
      </c>
      <c r="R11"/>
      <c r="S11"/>
      <c r="AB11"/>
      <c r="AC11"/>
      <c r="AD11"/>
      <c r="AE11"/>
      <c r="AF11"/>
      <c r="AG11"/>
      <c r="AH11"/>
      <c r="AI11"/>
      <c r="AJ11"/>
      <c r="AK11"/>
      <c r="AL11"/>
      <c r="AM11"/>
      <c r="AN11"/>
      <c r="AO11"/>
      <c r="AP11"/>
      <c r="AQ11"/>
    </row>
    <row r="12" spans="2:43" ht="17.399999999999999" x14ac:dyDescent="0.45">
      <c r="B12" s="223"/>
      <c r="C12" s="223"/>
      <c r="D12" s="223" t="s">
        <v>6</v>
      </c>
      <c r="E12" s="223"/>
      <c r="F12" s="223" t="s">
        <v>7</v>
      </c>
      <c r="G12" s="223" t="s">
        <v>8</v>
      </c>
      <c r="H12"/>
      <c r="I12"/>
      <c r="K12"/>
      <c r="L12" s="113"/>
      <c r="M12" s="128" t="s">
        <v>1102</v>
      </c>
      <c r="N12" s="225">
        <v>0</v>
      </c>
      <c r="O12" s="225">
        <v>1</v>
      </c>
      <c r="P12" s="225">
        <v>0</v>
      </c>
      <c r="Q12" s="225">
        <v>1</v>
      </c>
      <c r="R12"/>
      <c r="S12"/>
      <c r="AB12"/>
      <c r="AC12"/>
      <c r="AD12"/>
      <c r="AE12"/>
      <c r="AF12"/>
      <c r="AG12"/>
      <c r="AH12"/>
      <c r="AI12"/>
      <c r="AJ12"/>
      <c r="AK12"/>
      <c r="AL12"/>
      <c r="AM12"/>
    </row>
    <row r="13" spans="2:43" customFormat="1" ht="17.399999999999999" x14ac:dyDescent="0.45">
      <c r="B13" s="223" t="s">
        <v>9</v>
      </c>
      <c r="C13" s="223" t="s">
        <v>10</v>
      </c>
      <c r="D13" s="223" t="s">
        <v>11</v>
      </c>
      <c r="E13" s="223" t="s">
        <v>12</v>
      </c>
      <c r="F13" s="223"/>
      <c r="G13" s="223"/>
      <c r="L13" s="113"/>
      <c r="M13" s="113" t="s">
        <v>1103</v>
      </c>
      <c r="N13" s="225">
        <v>1</v>
      </c>
      <c r="O13" s="225">
        <v>0</v>
      </c>
      <c r="P13" s="225">
        <v>0</v>
      </c>
      <c r="Q13" s="225">
        <v>1</v>
      </c>
      <c r="T13" s="20"/>
      <c r="U13" s="20"/>
      <c r="V13" s="20"/>
      <c r="W13" s="52"/>
      <c r="X13" s="14"/>
      <c r="Y13" s="14"/>
      <c r="Z13" s="14"/>
      <c r="AA13" s="14"/>
    </row>
    <row r="14" spans="2:43" customFormat="1" ht="17.399999999999999" x14ac:dyDescent="0.45">
      <c r="B14" s="105" t="s">
        <v>13</v>
      </c>
      <c r="C14" s="4" t="s">
        <v>14</v>
      </c>
      <c r="D14" s="103">
        <v>1</v>
      </c>
      <c r="E14" s="104">
        <v>62500</v>
      </c>
      <c r="F14" s="103">
        <v>1</v>
      </c>
      <c r="G14" s="104">
        <v>62500</v>
      </c>
      <c r="L14" s="113"/>
      <c r="M14" s="113" t="s">
        <v>1104</v>
      </c>
      <c r="N14" s="225">
        <v>1</v>
      </c>
      <c r="O14" s="225">
        <v>0</v>
      </c>
      <c r="P14" s="225">
        <v>0</v>
      </c>
      <c r="Q14" s="225">
        <v>1</v>
      </c>
      <c r="T14" s="20"/>
      <c r="U14" s="20"/>
      <c r="V14" s="20"/>
      <c r="W14" s="52"/>
      <c r="X14" s="14"/>
      <c r="Y14" s="14"/>
      <c r="Z14" s="14"/>
      <c r="AA14" s="14"/>
    </row>
    <row r="15" spans="2:43" customFormat="1" ht="17.399999999999999" x14ac:dyDescent="0.45">
      <c r="B15" s="105" t="s">
        <v>15</v>
      </c>
      <c r="C15" s="4" t="s">
        <v>16</v>
      </c>
      <c r="D15" s="103">
        <v>0</v>
      </c>
      <c r="E15" s="104">
        <v>135000</v>
      </c>
      <c r="F15" s="103">
        <v>0</v>
      </c>
      <c r="G15" s="104">
        <v>135000</v>
      </c>
      <c r="L15" s="113"/>
      <c r="M15" s="128" t="s">
        <v>1105</v>
      </c>
      <c r="N15" s="225">
        <v>0</v>
      </c>
      <c r="O15" s="225">
        <v>0</v>
      </c>
      <c r="P15" s="225">
        <v>1</v>
      </c>
      <c r="Q15" s="225">
        <v>1</v>
      </c>
      <c r="T15" s="20"/>
      <c r="U15" s="20"/>
      <c r="V15" s="20"/>
      <c r="W15" s="52"/>
      <c r="X15" s="14"/>
      <c r="Y15" s="14"/>
      <c r="Z15" s="14"/>
      <c r="AA15" s="14"/>
    </row>
    <row r="16" spans="2:43" customFormat="1" ht="17.399999999999999" x14ac:dyDescent="0.45">
      <c r="B16" s="105" t="s">
        <v>17</v>
      </c>
      <c r="C16" s="4" t="s">
        <v>14</v>
      </c>
      <c r="D16" s="103">
        <v>0</v>
      </c>
      <c r="E16" s="104">
        <v>62500</v>
      </c>
      <c r="F16" s="103">
        <v>0</v>
      </c>
      <c r="G16" s="104">
        <v>62500</v>
      </c>
      <c r="L16" s="113"/>
      <c r="M16" s="128" t="s">
        <v>1106</v>
      </c>
      <c r="N16" s="225">
        <v>0</v>
      </c>
      <c r="O16" s="225">
        <v>1</v>
      </c>
      <c r="P16" s="225">
        <v>0</v>
      </c>
      <c r="Q16" s="225">
        <v>1</v>
      </c>
      <c r="T16" s="20"/>
      <c r="U16" s="20"/>
      <c r="V16" s="20"/>
      <c r="W16" s="52"/>
      <c r="X16" s="14"/>
      <c r="Y16" s="14"/>
      <c r="Z16" s="14"/>
      <c r="AA16" s="14"/>
    </row>
    <row r="17" spans="2:27" customFormat="1" ht="17.399999999999999" x14ac:dyDescent="0.45">
      <c r="B17" s="124" t="s">
        <v>18</v>
      </c>
      <c r="C17" s="124"/>
      <c r="D17" s="124">
        <v>1</v>
      </c>
      <c r="E17" s="125">
        <v>260000</v>
      </c>
      <c r="F17" s="124">
        <v>1</v>
      </c>
      <c r="G17" s="125">
        <v>260000</v>
      </c>
      <c r="L17" s="113"/>
      <c r="M17" s="128" t="s">
        <v>1107</v>
      </c>
      <c r="N17" s="225">
        <v>0</v>
      </c>
      <c r="O17" s="225">
        <v>1</v>
      </c>
      <c r="P17" s="225">
        <v>0</v>
      </c>
      <c r="Q17" s="225">
        <v>1</v>
      </c>
      <c r="T17" s="20"/>
      <c r="U17" s="20"/>
      <c r="V17" s="20"/>
      <c r="W17" s="52"/>
      <c r="X17" s="14"/>
      <c r="Y17" s="14"/>
      <c r="Z17" s="14"/>
      <c r="AA17" s="14"/>
    </row>
    <row r="18" spans="2:27" customFormat="1" ht="17.399999999999999" x14ac:dyDescent="0.45">
      <c r="L18" s="113" t="s">
        <v>78</v>
      </c>
      <c r="M18" s="113" t="s">
        <v>1108</v>
      </c>
      <c r="N18" s="225">
        <v>2</v>
      </c>
      <c r="O18" s="225">
        <v>0</v>
      </c>
      <c r="P18" s="225">
        <v>0</v>
      </c>
      <c r="Q18" s="225">
        <v>2</v>
      </c>
      <c r="T18" s="20"/>
      <c r="U18" s="20"/>
      <c r="V18" s="20"/>
      <c r="W18" s="52"/>
      <c r="X18" s="14"/>
      <c r="Y18" s="14"/>
      <c r="Z18" s="14"/>
      <c r="AA18" s="14"/>
    </row>
    <row r="19" spans="2:27" customFormat="1" ht="17.399999999999999" x14ac:dyDescent="0.45">
      <c r="L19" s="113"/>
      <c r="M19" s="128" t="s">
        <v>1109</v>
      </c>
      <c r="N19" s="225">
        <v>1</v>
      </c>
      <c r="O19" s="225">
        <v>0</v>
      </c>
      <c r="P19" s="225">
        <v>0</v>
      </c>
      <c r="Q19" s="225">
        <v>1</v>
      </c>
      <c r="T19" s="20"/>
      <c r="U19" s="20"/>
      <c r="V19" s="20"/>
      <c r="W19" s="52"/>
      <c r="X19" s="14"/>
      <c r="Y19" s="14"/>
      <c r="Z19" s="14"/>
      <c r="AA19" s="14"/>
    </row>
    <row r="20" spans="2:27" customFormat="1" ht="17.399999999999999" x14ac:dyDescent="0.45">
      <c r="B20" s="14"/>
      <c r="C20" s="18"/>
      <c r="D20" s="18"/>
      <c r="E20" s="18"/>
      <c r="F20" s="18"/>
      <c r="G20" s="18"/>
      <c r="H20" s="18"/>
      <c r="I20" s="18"/>
      <c r="L20" s="113"/>
      <c r="M20" s="128" t="s">
        <v>1110</v>
      </c>
      <c r="N20" s="225">
        <v>1</v>
      </c>
      <c r="O20" s="225">
        <v>0</v>
      </c>
      <c r="P20" s="225">
        <v>0</v>
      </c>
      <c r="Q20" s="225">
        <v>1</v>
      </c>
      <c r="T20" s="20"/>
      <c r="U20" s="20"/>
      <c r="V20" s="20"/>
      <c r="W20" s="52"/>
      <c r="X20" s="14"/>
      <c r="Y20" s="14"/>
      <c r="Z20" s="14"/>
      <c r="AA20" s="14"/>
    </row>
    <row r="21" spans="2:27" customFormat="1" ht="17.399999999999999" x14ac:dyDescent="0.45">
      <c r="B21" s="14"/>
      <c r="C21" s="18"/>
      <c r="D21" s="18"/>
      <c r="E21" s="18"/>
      <c r="F21" s="18"/>
      <c r="G21" s="18"/>
      <c r="H21" s="18"/>
      <c r="I21" s="18"/>
      <c r="L21" s="113"/>
      <c r="M21" s="128" t="s">
        <v>1111</v>
      </c>
      <c r="N21" s="225">
        <v>1</v>
      </c>
      <c r="O21" s="225">
        <v>0</v>
      </c>
      <c r="P21" s="225">
        <v>0</v>
      </c>
      <c r="Q21" s="225">
        <v>1</v>
      </c>
      <c r="T21" s="20"/>
      <c r="U21" s="20"/>
      <c r="V21" s="20"/>
      <c r="W21" s="52"/>
      <c r="X21" s="14"/>
      <c r="Y21" s="14"/>
      <c r="Z21" s="14"/>
      <c r="AA21" s="14"/>
    </row>
    <row r="22" spans="2:27" customFormat="1" ht="14.4" x14ac:dyDescent="0.3">
      <c r="L22" s="113" t="s">
        <v>18</v>
      </c>
      <c r="M22" s="113"/>
      <c r="N22" s="113">
        <v>11</v>
      </c>
      <c r="O22" s="113">
        <v>4</v>
      </c>
      <c r="P22" s="113">
        <v>1</v>
      </c>
      <c r="Q22" s="113">
        <v>16</v>
      </c>
    </row>
    <row r="23" spans="2:27" customFormat="1" ht="33.6" x14ac:dyDescent="0.3">
      <c r="B23" s="119" t="s">
        <v>0</v>
      </c>
      <c r="C23" s="113" t="s">
        <v>67</v>
      </c>
      <c r="E23" s="132" t="s">
        <v>1112</v>
      </c>
    </row>
    <row r="24" spans="2:27" customFormat="1" ht="14.4" x14ac:dyDescent="0.3"/>
    <row r="25" spans="2:27" customFormat="1" ht="14.4" x14ac:dyDescent="0.3">
      <c r="B25" s="127"/>
      <c r="C25" s="127"/>
      <c r="D25" s="119" t="s">
        <v>5</v>
      </c>
      <c r="E25" s="119" t="s">
        <v>26</v>
      </c>
      <c r="F25" s="113"/>
      <c r="G25" s="113"/>
      <c r="H25" s="113"/>
      <c r="I25" s="113"/>
    </row>
    <row r="26" spans="2:27" customFormat="1" ht="14.4" x14ac:dyDescent="0.3">
      <c r="B26" s="127"/>
      <c r="C26" s="127"/>
      <c r="D26" s="113" t="s">
        <v>1113</v>
      </c>
      <c r="E26" s="113"/>
      <c r="F26" s="113" t="s">
        <v>12</v>
      </c>
      <c r="G26" s="113"/>
      <c r="H26" s="113" t="s">
        <v>1114</v>
      </c>
      <c r="I26" s="113" t="s">
        <v>8</v>
      </c>
    </row>
    <row r="27" spans="2:27" customFormat="1" ht="14.4" x14ac:dyDescent="0.3">
      <c r="B27" s="119" t="s">
        <v>9</v>
      </c>
      <c r="C27" s="126" t="s">
        <v>28</v>
      </c>
      <c r="D27" s="113" t="s">
        <v>6</v>
      </c>
      <c r="E27" s="113" t="s">
        <v>78</v>
      </c>
      <c r="F27" s="113" t="s">
        <v>6</v>
      </c>
      <c r="G27" s="113" t="s">
        <v>78</v>
      </c>
      <c r="H27" s="113"/>
      <c r="I27" s="113"/>
    </row>
    <row r="28" spans="2:27" customFormat="1" ht="17.399999999999999" x14ac:dyDescent="0.45">
      <c r="B28" s="113" t="s">
        <v>53</v>
      </c>
      <c r="C28" s="128" t="s">
        <v>1101</v>
      </c>
      <c r="D28" s="225">
        <v>1</v>
      </c>
      <c r="E28" s="225">
        <v>0</v>
      </c>
      <c r="F28" s="131">
        <v>166000</v>
      </c>
      <c r="G28" s="131">
        <v>0</v>
      </c>
      <c r="H28" s="225">
        <v>1</v>
      </c>
      <c r="I28" s="131">
        <v>166000</v>
      </c>
      <c r="L28" s="18"/>
      <c r="M28" s="18"/>
      <c r="N28" s="18"/>
      <c r="O28" s="20"/>
      <c r="P28" s="20"/>
      <c r="Q28" s="53"/>
      <c r="R28" s="20"/>
      <c r="S28" s="20"/>
    </row>
    <row r="29" spans="2:27" customFormat="1" ht="17.399999999999999" x14ac:dyDescent="0.45">
      <c r="B29" s="113"/>
      <c r="C29" s="128" t="s">
        <v>1108</v>
      </c>
      <c r="D29" s="225">
        <v>1</v>
      </c>
      <c r="E29" s="225">
        <v>0</v>
      </c>
      <c r="F29" s="131">
        <v>135000</v>
      </c>
      <c r="G29" s="131">
        <v>0</v>
      </c>
      <c r="H29" s="225">
        <v>1</v>
      </c>
      <c r="I29" s="131">
        <v>135000</v>
      </c>
      <c r="L29" s="18"/>
      <c r="M29" s="18"/>
      <c r="N29" s="18"/>
      <c r="O29" s="20"/>
      <c r="P29" s="20"/>
      <c r="Q29" s="53"/>
      <c r="R29" s="20"/>
      <c r="S29" s="20"/>
    </row>
    <row r="30" spans="2:27" customFormat="1" ht="17.399999999999999" x14ac:dyDescent="0.45">
      <c r="B30" s="113" t="s">
        <v>13</v>
      </c>
      <c r="C30" s="128" t="s">
        <v>1110</v>
      </c>
      <c r="D30" s="225">
        <v>0</v>
      </c>
      <c r="E30" s="225">
        <v>1</v>
      </c>
      <c r="F30" s="131">
        <v>0</v>
      </c>
      <c r="G30" s="131">
        <v>48000</v>
      </c>
      <c r="H30" s="225">
        <v>1</v>
      </c>
      <c r="I30" s="131">
        <v>48000</v>
      </c>
      <c r="L30" s="18"/>
      <c r="M30" s="18"/>
      <c r="N30" s="18"/>
      <c r="O30" s="20"/>
      <c r="P30" s="20"/>
      <c r="Q30" s="53"/>
      <c r="R30" s="20"/>
      <c r="S30" s="20"/>
    </row>
    <row r="31" spans="2:27" customFormat="1" ht="14.4" x14ac:dyDescent="0.3">
      <c r="B31" s="113"/>
      <c r="C31" s="128" t="s">
        <v>1101</v>
      </c>
      <c r="D31" s="225">
        <v>1</v>
      </c>
      <c r="E31" s="225">
        <v>0</v>
      </c>
      <c r="F31" s="131">
        <v>166000</v>
      </c>
      <c r="G31" s="131">
        <v>0</v>
      </c>
      <c r="H31" s="225">
        <v>1</v>
      </c>
      <c r="I31" s="131">
        <v>166000</v>
      </c>
    </row>
    <row r="32" spans="2:27" customFormat="1" ht="14.4" x14ac:dyDescent="0.3">
      <c r="B32" s="113"/>
      <c r="C32" s="128" t="s">
        <v>1115</v>
      </c>
      <c r="D32" s="225">
        <v>0</v>
      </c>
      <c r="E32" s="225">
        <v>1</v>
      </c>
      <c r="F32" s="131">
        <v>0</v>
      </c>
      <c r="G32" s="131">
        <v>286000</v>
      </c>
      <c r="H32" s="225">
        <v>1</v>
      </c>
      <c r="I32" s="131">
        <v>286000</v>
      </c>
      <c r="W32" s="24"/>
    </row>
    <row r="33" spans="1:67" customFormat="1" ht="14.4" x14ac:dyDescent="0.3">
      <c r="B33" s="113" t="s">
        <v>18</v>
      </c>
      <c r="C33" s="113"/>
      <c r="D33" s="113">
        <v>3</v>
      </c>
      <c r="E33" s="113">
        <v>2</v>
      </c>
      <c r="F33" s="130">
        <v>467000</v>
      </c>
      <c r="G33" s="130">
        <v>334000</v>
      </c>
      <c r="H33" s="113">
        <v>5</v>
      </c>
      <c r="I33" s="130">
        <v>801000</v>
      </c>
      <c r="W33" s="24"/>
    </row>
    <row r="34" spans="1:67" customFormat="1" ht="15.6" x14ac:dyDescent="0.3">
      <c r="V34" s="99"/>
      <c r="W34" s="24"/>
    </row>
    <row r="35" spans="1:67" customFormat="1" ht="14.4" x14ac:dyDescent="0.3">
      <c r="W35" s="24"/>
    </row>
    <row r="36" spans="1:67" customFormat="1" ht="14.4" x14ac:dyDescent="0.3">
      <c r="W36" s="24"/>
    </row>
    <row r="37" spans="1:67" customFormat="1" ht="23.4" customHeight="1" x14ac:dyDescent="0.3">
      <c r="W37" s="24"/>
    </row>
    <row r="38" spans="1:67" customFormat="1" ht="51" customHeight="1" x14ac:dyDescent="0.45">
      <c r="A38" s="14"/>
      <c r="B38" s="228" t="s">
        <v>1116</v>
      </c>
      <c r="C38" s="228"/>
      <c r="D38" s="228"/>
      <c r="E38" s="228"/>
      <c r="F38" s="228"/>
      <c r="G38" s="228"/>
      <c r="H38" s="228"/>
      <c r="I38" s="228"/>
      <c r="J38" s="228"/>
      <c r="K38" s="228"/>
      <c r="L38" s="228"/>
      <c r="O38" s="227" t="s">
        <v>1117</v>
      </c>
      <c r="P38" s="227"/>
      <c r="Q38" s="227"/>
      <c r="R38" s="227"/>
      <c r="S38" s="227"/>
      <c r="T38" s="227"/>
      <c r="U38" s="227"/>
      <c r="V38" s="227"/>
      <c r="W38" s="227"/>
    </row>
    <row r="39" spans="1:67" ht="38.4" customHeight="1" x14ac:dyDescent="0.45">
      <c r="B39" s="100" t="s">
        <v>1118</v>
      </c>
      <c r="C39" s="100" t="s">
        <v>1119</v>
      </c>
      <c r="D39" s="100" t="s">
        <v>27</v>
      </c>
      <c r="E39" s="101" t="s">
        <v>1120</v>
      </c>
      <c r="F39" s="100" t="s">
        <v>1121</v>
      </c>
      <c r="G39" s="100" t="s">
        <v>31</v>
      </c>
      <c r="H39" s="133" t="s">
        <v>32</v>
      </c>
      <c r="I39" s="101" t="s">
        <v>9</v>
      </c>
      <c r="J39" s="101" t="s">
        <v>1122</v>
      </c>
      <c r="K39" s="101" t="s">
        <v>29</v>
      </c>
      <c r="L39" s="50" t="s">
        <v>1123</v>
      </c>
      <c r="M39" s="14"/>
      <c r="N39" s="14"/>
      <c r="O39" s="79" t="s">
        <v>9</v>
      </c>
      <c r="P39" s="80" t="s">
        <v>28</v>
      </c>
      <c r="Q39" s="79" t="s">
        <v>29</v>
      </c>
      <c r="R39" s="79" t="s">
        <v>1124</v>
      </c>
      <c r="S39" s="79" t="s">
        <v>1119</v>
      </c>
      <c r="T39" s="100" t="s">
        <v>27</v>
      </c>
      <c r="U39" s="100" t="s">
        <v>32</v>
      </c>
      <c r="V39" s="79" t="s">
        <v>36</v>
      </c>
      <c r="W39" s="79" t="s">
        <v>1125</v>
      </c>
      <c r="Y39"/>
      <c r="Z39"/>
    </row>
    <row r="40" spans="1:67" ht="75" customHeight="1" x14ac:dyDescent="0.45">
      <c r="B40" s="15">
        <v>1</v>
      </c>
      <c r="C40" s="90" t="str">
        <f>IFERROR(VLOOKUP(ROWS($C$39:C39), 'SelloutPlan v1Main'!$D$5:$AC$208,12, FALSE), "")</f>
        <v>7920V/210A-B334</v>
      </c>
      <c r="D40" s="90" t="str">
        <f>IFERROR(VLOOKUP(ROWS($C$39:D39), 'SelloutPlan v1Main'!$D$5:$AC$208,11, FALSE), "")</f>
        <v>Middle East (UAE)</v>
      </c>
      <c r="E40" s="90" t="str">
        <f>IFERROR(VLOOKUP(ROWS($C$39:E39), 'SelloutPlan v1Main'!$D$5:$AC$208,9, FALSE), "")</f>
        <v>Allocation confirmed(Deposit paid)</v>
      </c>
      <c r="F40" s="90" t="str">
        <f>IFERROR(VLOOKUP(ROWS($C$39:F39), 'SelloutPlan v1Main'!$D$5:$AC$208,7, FALSE), "")</f>
        <v>Boutique Stock</v>
      </c>
      <c r="G40" s="91">
        <f>IFERROR(VLOOKUP(ROWS($C$39:G39), 'SelloutPlan v1Main'!$D$5:$AC$208,16, FALSE), "")</f>
        <v>101624260</v>
      </c>
      <c r="H40" s="123" t="str">
        <f>IFERROR(VLOOKUP(ROWS($C$39:G39), 'SelloutPlan v1Main'!$D$5:$AC$208,17, FALSE), "")</f>
        <v>NA</v>
      </c>
      <c r="I40" s="92" t="str">
        <f>IFERROR(VLOOKUP(ROWS($C$39:H39), 'SelloutPlan v1Main'!$D$5:$AC$208,3, FALSE), "")</f>
        <v>Asma</v>
      </c>
      <c r="J40" s="92" t="str">
        <f>IFERROR(VLOOKUP(ROWS($C$39:I39), 'SelloutPlan v1Main'!$D$5:$AC$208,10, FALSE), "")</f>
        <v>High</v>
      </c>
      <c r="K40" s="93" t="str">
        <f>IFERROR(VLOOKUP(ROWS($C$39:J39), 'SelloutPlan v1Main'!$D$5:$AC$208,14, FALSE), "")</f>
        <v>117,000 AED</v>
      </c>
      <c r="L40" s="98">
        <f>IFERROR(VLOOKUP(ROWS($C$39:K39), 'SelloutPlan v1Main'!$D$5:$AC$208,19, FALSE), "")</f>
        <v>0</v>
      </c>
      <c r="M40" s="38"/>
      <c r="N40" s="38"/>
      <c r="O40" s="81" t="str">
        <f>IFERROR(VLOOKUP(ROWS($O$39:U39),'SelloutPlan v1Main'!$E$5:$AC$208,2,FALSE),"")</f>
        <v>Maaz</v>
      </c>
      <c r="P40" s="82" t="str">
        <f>IFERROR(VLOOKUP(ROWS($O$39:U39),'SelloutPlan v1Main'!$E$5:$AC$208,12,FALSE),"")</f>
        <v>Overseas self-winding</v>
      </c>
      <c r="Q40" s="82" t="str">
        <f>IFERROR(VLOOKUP(ROWS($O$39:V39),'SelloutPlan v1Main'!$E$5:$AC$208,13,FALSE),"")</f>
        <v>94,500 AED</v>
      </c>
      <c r="R40" s="83" t="str">
        <f>IFERROR(VLOOKUP(ROWS($O$39:U39),'SelloutPlan v1Main'!$E$5:$AC$208,7,FALSE),"")</f>
        <v>Boutique Stock</v>
      </c>
      <c r="S40" s="84" t="str">
        <f>IFERROR(VLOOKUP(ROWS($O$39:U39),'SelloutPlan v1Main'!$E$5:$AC$208,11,FALSE),"")</f>
        <v>4520V/210A-B128</v>
      </c>
      <c r="T40" s="81" t="str">
        <f>IFERROR(VLOOKUP(ROWS($O$39:U39),'SelloutPlan v1Main'!$E$5:$AC$208,10,FALSE),"")</f>
        <v>Middle East (UAE)</v>
      </c>
      <c r="U40" s="83">
        <f>IFERROR(VLOOKUP(ROWS($O$39:U39),'SelloutPlan v1Main'!$E$5:$AC$208,16,FALSE),"")</f>
        <v>0</v>
      </c>
      <c r="V40" s="83" t="str">
        <f>IFERROR(IF(_xlfn.XLOOKUP(ROWS($O$39:W40), 'SelloutPlan v1Main'!$E$5:$E$208, 'SelloutPlan v1Main'!$X$5:$X$208) = 0, "", _xlfn.XLOOKUP(ROWS($O$39:W40), 'SelloutPlan v1Main'!$E$5:$E$208, 'SelloutPlan v1Main'!$X$5:$X$208)), "")</f>
        <v/>
      </c>
      <c r="W40" s="83" t="str">
        <f ca="1">IFERROR(IF(VLOOKUP(ROWS($O$39:X39), 'SelloutPlan v1Main'!$E$5:$AP$209, 25, FALSE) = 0, "", VLOOKUP(ROWS($O$39:X39), 'SelloutPlan v1Main'!$E$5:$AP$209, 24, FALSE)), "")</f>
        <v>307 Days</v>
      </c>
      <c r="Y40"/>
      <c r="Z40"/>
    </row>
    <row r="41" spans="1:67" ht="40.950000000000003" customHeight="1" x14ac:dyDescent="0.45">
      <c r="B41" s="15">
        <v>2</v>
      </c>
      <c r="C41" s="90" t="str">
        <f>IFERROR(VLOOKUP(ROWS($C$39:C40), 'SelloutPlan v1Main'!$D$5:$AC$208,12, FALSE), "")</f>
        <v>4520V/210R-B705</v>
      </c>
      <c r="D41" s="90" t="str">
        <f>IFERROR(VLOOKUP(ROWS($C$39:D40), 'SelloutPlan v1Main'!$D$5:$AC$208,11, FALSE), "")</f>
        <v>Middle East (UAE)</v>
      </c>
      <c r="E41" s="90" t="str">
        <f>IFERROR(VLOOKUP(ROWS($C$39:E40), 'SelloutPlan v1Main'!$D$5:$AC$208,9, FALSE), "")</f>
        <v>Allocation Confirmed</v>
      </c>
      <c r="F41" s="90" t="str">
        <f>IFERROR(VLOOKUP(ROWS($C$39:F40), 'SelloutPlan v1Main'!$D$5:$AC$208,7, FALSE), "")</f>
        <v>Boutique Stock</v>
      </c>
      <c r="G41" s="91">
        <f>IFERROR(VLOOKUP(ROWS($C$39:G40), 'SelloutPlan v1Main'!$D$5:$AC$208,16, FALSE), "")</f>
        <v>0</v>
      </c>
      <c r="H41" s="123" t="str">
        <f>IFERROR(VLOOKUP(ROWS($C$39:G40), 'SelloutPlan v1Main'!$D$5:$AC$208,17, FALSE), "")</f>
        <v>Piece is confirmed with boutique team? Latest update: client cancelled his trip (he is still interested but we informed him to pay deposit should he wish to proceed)</v>
      </c>
      <c r="I41" s="92" t="str">
        <f>IFERROR(VLOOKUP(ROWS($C$39:H40), 'SelloutPlan v1Main'!$D$5:$AC$208,3, FALSE), "")</f>
        <v xml:space="preserve">Asma </v>
      </c>
      <c r="J41" s="92" t="str">
        <f>IFERROR(VLOOKUP(ROWS($C$39:I40), 'SelloutPlan v1Main'!$D$5:$AC$208,10, FALSE), "")</f>
        <v>Low</v>
      </c>
      <c r="K41" s="93" t="str">
        <f>IFERROR(VLOOKUP(ROWS($C$39:J40), 'SelloutPlan v1Main'!$D$5:$AC$208,14, FALSE), "")</f>
        <v>229,000 AED</v>
      </c>
      <c r="L41" s="51" t="str">
        <f ca="1">IFERROR(VLOOKUP(ROWS($C$39:K40), 'SelloutPlan v1Main'!$D$5:$AC$208,26, FALSE), "")</f>
        <v/>
      </c>
      <c r="M41" s="38"/>
      <c r="N41" s="38"/>
      <c r="O41" s="81" t="str">
        <f>IFERROR(VLOOKUP(ROWS($O$39:U40),'SelloutPlan v1Main'!$E$5:$AC$208,2,FALSE),"")</f>
        <v>Maaz</v>
      </c>
      <c r="P41" s="82" t="str">
        <f>IFERROR(VLOOKUP(ROWS($O$39:U40),'SelloutPlan v1Main'!$E$5:$AC$208,12,FALSE),"")</f>
        <v>Historiques American 1921 - Arabic</v>
      </c>
      <c r="Q41" s="82" t="str">
        <f>IFERROR(VLOOKUP(ROWS($O$39:V40),'SelloutPlan v1Main'!$E$5:$AC$208,13,FALSE),"")</f>
        <v>192,000 AED</v>
      </c>
      <c r="R41" s="83" t="str">
        <f>IFERROR(VLOOKUP(ROWS($O$39:U40),'SelloutPlan v1Main'!$E$5:$AC$208,7,FALSE),"")</f>
        <v>Boutique Stock</v>
      </c>
      <c r="S41" s="84" t="str">
        <f>IFERROR(VLOOKUP(ROWS($O$39:U40),'SelloutPlan v1Main'!$E$5:$AC$208,11,FALSE),"")</f>
        <v>82035/000P-H063</v>
      </c>
      <c r="T41" s="81" t="str">
        <f>IFERROR(VLOOKUP(ROWS($O$39:U40),'SelloutPlan v1Main'!$E$5:$AC$208,10,FALSE),"")</f>
        <v>Middle East (UAE)</v>
      </c>
      <c r="U41" s="83" t="str">
        <f>IFERROR(VLOOKUP(ROWS($O$39:U40),'SelloutPlan v1Main'!$E$5:$AC$208,16,FALSE),"")</f>
        <v>NA</v>
      </c>
      <c r="V41" s="83" t="str">
        <f>IFERROR(IF(_xlfn.XLOOKUP(ROWS($O$39:W41), 'SelloutPlan v1Main'!$E$5:$E$208, 'SelloutPlan v1Main'!$X$5:$X$208) = 0, "", _xlfn.XLOOKUP(ROWS($O$39:W41), 'SelloutPlan v1Main'!$E$5:$E$208, 'SelloutPlan v1Main'!$X$5:$X$208)), "")</f>
        <v>Paid Deposit</v>
      </c>
      <c r="W41" s="83" t="str">
        <f ca="1">IFERROR(IF(VLOOKUP(ROWS($O$39:X40), 'SelloutPlan v1Main'!$E$5:$AP$209, 25, FALSE) = 0, "", VLOOKUP(ROWS($O$39:X40), 'SelloutPlan v1Main'!$E$5:$AP$209, 24, FALSE)), "")</f>
        <v>239 Days</v>
      </c>
      <c r="Y41"/>
      <c r="Z41"/>
      <c r="AA41"/>
    </row>
    <row r="42" spans="1:67" ht="25.5" customHeight="1" x14ac:dyDescent="0.45">
      <c r="B42" s="15">
        <v>3</v>
      </c>
      <c r="C42" s="90" t="str">
        <f>IFERROR(VLOOKUP(ROWS($C$39:C41), 'SelloutPlan v1Main'!$D$5:$AC$208,12, FALSE), "")</f>
        <v>4520V/210R-B967</v>
      </c>
      <c r="D42" s="90" t="str">
        <f>IFERROR(VLOOKUP(ROWS($C$39:D41), 'SelloutPlan v1Main'!$D$5:$AC$208,11, FALSE), "")</f>
        <v>Middle East (UAE)</v>
      </c>
      <c r="E42" s="90" t="str">
        <f>IFERROR(VLOOKUP(ROWS($C$39:E41), 'SelloutPlan v1Main'!$D$5:$AC$208,9, FALSE), "")</f>
        <v>Allocation Confirmed</v>
      </c>
      <c r="F42" s="90" t="str">
        <f>IFERROR(VLOOKUP(ROWS($C$39:F41), 'SelloutPlan v1Main'!$D$5:$AC$208,7, FALSE), "")</f>
        <v>CRC Stock</v>
      </c>
      <c r="G42" s="91">
        <f>IFERROR(VLOOKUP(ROWS($C$39:G41), 'SelloutPlan v1Main'!$D$5:$AC$208,16, FALSE), "")</f>
        <v>105371442</v>
      </c>
      <c r="H42" s="123" t="str">
        <f>IFERROR(VLOOKUP(ROWS($C$39:G41), 'SelloutPlan v1Main'!$D$5:$AC$208,17, FALSE), "")</f>
        <v>Please confirm client goes ahead to Anais &amp; Rowel, so piece can be ordered from CH, estimated time: 7 days</v>
      </c>
      <c r="I42" s="92" t="str">
        <f>IFERROR(VLOOKUP(ROWS($C$39:H41), 'SelloutPlan v1Main'!$D$5:$AC$208,3, FALSE), "")</f>
        <v>Maaz</v>
      </c>
      <c r="J42" s="92" t="str">
        <f>IFERROR(VLOOKUP(ROWS($C$39:I41), 'SelloutPlan v1Main'!$D$5:$AC$208,10, FALSE), "")</f>
        <v>Low</v>
      </c>
      <c r="K42" s="93" t="str">
        <f>IFERROR(VLOOKUP(ROWS($C$39:J41), 'SelloutPlan v1Main'!$D$5:$AC$208,14, FALSE), "")</f>
        <v>229,000 AED</v>
      </c>
      <c r="L42" s="51" t="str">
        <f ca="1">IFERROR(VLOOKUP(ROWS($C$39:K41), 'SelloutPlan v1Main'!$D$5:$AC$208,25, FALSE), "")</f>
        <v/>
      </c>
      <c r="M42" s="38"/>
      <c r="N42" s="38"/>
      <c r="O42" s="81" t="str">
        <f>IFERROR(VLOOKUP(ROWS($O$39:U41),'SelloutPlan v1Main'!$E$5:$AC$208,2,FALSE),"")</f>
        <v>Maaz</v>
      </c>
      <c r="P42" s="82" t="str">
        <f>IFERROR(VLOOKUP(ROWS($O$39:U41),'SelloutPlan v1Main'!$E$5:$AC$208,12,FALSE),"")</f>
        <v>Overseas dual time Black</v>
      </c>
      <c r="Q42" s="82" t="str">
        <f>IFERROR(VLOOKUP(ROWS($O$39:V41),'SelloutPlan v1Main'!$E$5:$AC$208,13,FALSE),"")</f>
        <v>117,000 AED</v>
      </c>
      <c r="R42" s="83" t="str">
        <f>IFERROR(VLOOKUP(ROWS($O$39:U41),'SelloutPlan v1Main'!$E$5:$AC$208,7,FALSE),"")</f>
        <v>Boutique Stock</v>
      </c>
      <c r="S42" s="84" t="str">
        <f>IFERROR(VLOOKUP(ROWS($O$39:U41),'SelloutPlan v1Main'!$E$5:$AC$208,11,FALSE),"")</f>
        <v>7920V/210A-B546</v>
      </c>
      <c r="T42" s="81" t="str">
        <f>IFERROR(VLOOKUP(ROWS($O$39:U41),'SelloutPlan v1Main'!$E$5:$AC$208,10,FALSE),"")</f>
        <v>Middle East (UAE)</v>
      </c>
      <c r="U42" s="83" t="str">
        <f>IFERROR(VLOOKUP(ROWS($O$39:U41),'SelloutPlan v1Main'!$E$5:$AC$208,16,FALSE),"")</f>
        <v>NA</v>
      </c>
      <c r="V42" s="83" t="str">
        <f>IFERROR(IF(_xlfn.XLOOKUP(ROWS($O$39:W42), 'SelloutPlan v1Main'!$E$5:$E$208, 'SelloutPlan v1Main'!$X$5:$X$208) = 0, "", _xlfn.XLOOKUP(ROWS($O$39:W42), 'SelloutPlan v1Main'!$E$5:$E$208, 'SelloutPlan v1Main'!$X$5:$X$208)), "")</f>
        <v>Full Payment - By link</v>
      </c>
      <c r="W42" s="83" t="str">
        <f ca="1">IFERROR(IF(VLOOKUP(ROWS($O$39:X41), 'SelloutPlan v1Main'!$E$5:$AP$209, 25, FALSE) = 0, "", VLOOKUP(ROWS($O$39:X41), 'SelloutPlan v1Main'!$E$5:$AP$209, 24, FALSE)), "")</f>
        <v>272 Days</v>
      </c>
      <c r="Y42"/>
      <c r="Z42"/>
      <c r="AA42"/>
      <c r="AC42" s="16"/>
    </row>
    <row r="43" spans="1:67" ht="25.5" customHeight="1" x14ac:dyDescent="0.45">
      <c r="B43" s="15">
        <v>4</v>
      </c>
      <c r="C43" s="90" t="str">
        <f>IFERROR(VLOOKUP(ROWS($C$39:C42), 'SelloutPlan v1Main'!$D$5:$AC$208,12, FALSE), "")</f>
        <v/>
      </c>
      <c r="D43" s="90" t="str">
        <f>IFERROR(VLOOKUP(ROWS($C$39:D42), 'SelloutPlan v1Main'!$D$5:$AC$208,11, FALSE), "")</f>
        <v/>
      </c>
      <c r="E43" s="90" t="str">
        <f>IFERROR(VLOOKUP(ROWS($C$39:E42), 'SelloutPlan v1Main'!$D$5:$AC$208,9, FALSE), "")</f>
        <v/>
      </c>
      <c r="F43" s="90" t="str">
        <f>IFERROR(VLOOKUP(ROWS($C$39:F42), 'SelloutPlan v1Main'!$D$5:$AC$208,7, FALSE), "")</f>
        <v/>
      </c>
      <c r="G43" s="91" t="str">
        <f>IFERROR(VLOOKUP(ROWS($C$39:G42), 'SelloutPlan v1Main'!$D$5:$AC$208,16, FALSE), "")</f>
        <v/>
      </c>
      <c r="H43" s="123" t="str">
        <f>IFERROR(VLOOKUP(ROWS($C$39:G42), 'SelloutPlan v1Main'!$D$5:$AC$208,17, FALSE), "")</f>
        <v/>
      </c>
      <c r="I43" s="92" t="str">
        <f>IFERROR(VLOOKUP(ROWS($C$39:H42), 'SelloutPlan v1Main'!$D$5:$AC$208,3, FALSE), "")</f>
        <v/>
      </c>
      <c r="J43" s="92" t="str">
        <f>IFERROR(VLOOKUP(ROWS($C$39:I42), 'SelloutPlan v1Main'!$D$5:$AC$208,10, FALSE), "")</f>
        <v/>
      </c>
      <c r="K43" s="93" t="str">
        <f>IFERROR(VLOOKUP(ROWS($C$39:J42), 'SelloutPlan v1Main'!$D$5:$AC$208,14, FALSE), "")</f>
        <v/>
      </c>
      <c r="L43" s="51" t="str">
        <f>IFERROR(VLOOKUP(ROWS($C$39:K42), 'SelloutPlan v1Main'!$D$5:$AC$208,25, FALSE), "")</f>
        <v/>
      </c>
      <c r="M43" s="38"/>
      <c r="N43" s="38"/>
      <c r="O43" s="81" t="str">
        <f>IFERROR(VLOOKUP(ROWS($O$39:U42),'SelloutPlan v1Main'!$E$5:$AC$208,2,FALSE),"")</f>
        <v>Maaz</v>
      </c>
      <c r="P43" s="82" t="str">
        <f>IFERROR(VLOOKUP(ROWS($O$39:U42),'SelloutPlan v1Main'!$E$5:$AC$208,12,FALSE),"")</f>
        <v>Overseas dual time Blue</v>
      </c>
      <c r="Q43" s="82" t="str">
        <f>IFERROR(VLOOKUP(ROWS($O$39:V42),'SelloutPlan v1Main'!$E$5:$AC$208,13,FALSE),"")</f>
        <v>117,000 AED</v>
      </c>
      <c r="R43" s="83" t="str">
        <f>IFERROR(VLOOKUP(ROWS($O$39:U42),'SelloutPlan v1Main'!$E$5:$AC$208,7,FALSE),"")</f>
        <v>Boutique Stock</v>
      </c>
      <c r="S43" s="84" t="str">
        <f>IFERROR(VLOOKUP(ROWS($O$39:U42),'SelloutPlan v1Main'!$E$5:$AC$208,11,FALSE),"")</f>
        <v>7920V/210A-B334</v>
      </c>
      <c r="T43" s="81" t="str">
        <f>IFERROR(VLOOKUP(ROWS($O$39:U42),'SelloutPlan v1Main'!$E$5:$AC$208,10,FALSE),"")</f>
        <v>Middle East (UAE)</v>
      </c>
      <c r="U43" s="83" t="str">
        <f>IFERROR(VLOOKUP(ROWS($O$39:U42),'SelloutPlan v1Main'!$E$5:$AC$208,16,FALSE),"")</f>
        <v>NA</v>
      </c>
      <c r="V43" s="83" t="str">
        <f>IFERROR(IF(_xlfn.XLOOKUP(ROWS($O$39:W43), 'SelloutPlan v1Main'!$E$5:$E$208, 'SelloutPlan v1Main'!$X$5:$X$208) = 0, "", _xlfn.XLOOKUP(ROWS($O$39:W43), 'SelloutPlan v1Main'!$E$5:$E$208, 'SelloutPlan v1Main'!$X$5:$X$208)), "")</f>
        <v>Paid Deposit</v>
      </c>
      <c r="W43" s="83" t="str">
        <f ca="1">IFERROR(IF(VLOOKUP(ROWS($O$39:X42), 'SelloutPlan v1Main'!$E$5:$AP$209, 25, FALSE) = 0, "", VLOOKUP(ROWS($O$39:X42), 'SelloutPlan v1Main'!$E$5:$AP$209, 24, FALSE)), "")</f>
        <v>301 Days</v>
      </c>
      <c r="Y43"/>
      <c r="Z43"/>
      <c r="AA43"/>
    </row>
    <row r="44" spans="1:67" ht="32.4" customHeight="1" x14ac:dyDescent="0.45">
      <c r="B44" s="15">
        <v>5</v>
      </c>
      <c r="C44" s="90" t="str">
        <f>IFERROR(VLOOKUP(ROWS($C$39:C43), 'SelloutPlan v1Main'!$D$5:$AC$208,12, FALSE), "")</f>
        <v/>
      </c>
      <c r="D44" s="90" t="str">
        <f>IFERROR(VLOOKUP(ROWS($C$39:D43), 'SelloutPlan v1Main'!$D$5:$AC$208,11, FALSE), "")</f>
        <v/>
      </c>
      <c r="E44" s="90" t="str">
        <f>IFERROR(VLOOKUP(ROWS($C$39:E43), 'SelloutPlan v1Main'!$D$5:$AC$208,9, FALSE), "")</f>
        <v/>
      </c>
      <c r="F44" s="90" t="str">
        <f>IFERROR(VLOOKUP(ROWS($C$39:F43), 'SelloutPlan v1Main'!$D$5:$AC$208,7, FALSE), "")</f>
        <v/>
      </c>
      <c r="G44" s="91" t="str">
        <f>IFERROR(VLOOKUP(ROWS($C$39:G43), 'SelloutPlan v1Main'!$D$5:$AC$208,16, FALSE), "")</f>
        <v/>
      </c>
      <c r="H44" s="123" t="str">
        <f>IFERROR(VLOOKUP(ROWS($C$39:G43), 'SelloutPlan v1Main'!$D$5:$AC$208,17, FALSE), "")</f>
        <v/>
      </c>
      <c r="I44" s="92" t="str">
        <f>IFERROR(VLOOKUP(ROWS($C$39:H43), 'SelloutPlan v1Main'!$D$5:$AC$208,3, FALSE), "")</f>
        <v/>
      </c>
      <c r="J44" s="92" t="str">
        <f>IFERROR(VLOOKUP(ROWS($C$39:I43), 'SelloutPlan v1Main'!$D$5:$AC$208,10, FALSE), "")</f>
        <v/>
      </c>
      <c r="K44" s="93" t="str">
        <f>IFERROR(VLOOKUP(ROWS($C$39:J43), 'SelloutPlan v1Main'!$D$5:$AC$208,14, FALSE), "")</f>
        <v/>
      </c>
      <c r="L44" s="51" t="str">
        <f>IFERROR(VLOOKUP(ROWS($C$39:K43), 'SelloutPlan v1Main'!$D$5:$AC$208,25, FALSE), "")</f>
        <v/>
      </c>
      <c r="M44" s="38"/>
      <c r="N44" s="38"/>
      <c r="O44" s="81" t="str">
        <f>IFERROR(VLOOKUP(ROWS($O$39:U43),'SelloutPlan v1Main'!$E$5:$AC$208,2,FALSE),"")</f>
        <v>Maaz</v>
      </c>
      <c r="P44" s="82" t="str">
        <f>IFERROR(VLOOKUP(ROWS($O$39:U43),'SelloutPlan v1Main'!$E$5:$AC$208,12,FALSE),"")</f>
        <v>Overseas moon phase retrograde date</v>
      </c>
      <c r="Q44" s="82" t="str">
        <f>IFERROR(VLOOKUP(ROWS($O$39:V43),'SelloutPlan v1Main'!$E$5:$AC$208,13,FALSE),"")</f>
        <v>166,000 AED</v>
      </c>
      <c r="R44" s="83" t="str">
        <f>IFERROR(VLOOKUP(ROWS($O$39:U43),'SelloutPlan v1Main'!$E$5:$AC$208,7,FALSE),"")</f>
        <v>CRC Stock</v>
      </c>
      <c r="S44" s="84" t="str">
        <f>IFERROR(VLOOKUP(ROWS($O$39:U43),'SelloutPlan v1Main'!$E$5:$AC$208,11,FALSE),"")</f>
        <v>4000V/210A-B911</v>
      </c>
      <c r="T44" s="81" t="str">
        <f>IFERROR(VLOOKUP(ROWS($O$39:U43),'SelloutPlan v1Main'!$E$5:$AC$208,10,FALSE),"")</f>
        <v>Middle East (UAE)</v>
      </c>
      <c r="U44" s="83" t="str">
        <f>IFERROR(VLOOKUP(ROWS($O$39:U43),'SelloutPlan v1Main'!$E$5:$AC$208,16,FALSE),"")</f>
        <v>NA</v>
      </c>
      <c r="V44" s="83" t="str">
        <f>IFERROR(IF(_xlfn.XLOOKUP(ROWS($O$39:W44), 'SelloutPlan v1Main'!$E$5:$E$208, 'SelloutPlan v1Main'!$X$5:$X$208) = 0, "", _xlfn.XLOOKUP(ROWS($O$39:W44), 'SelloutPlan v1Main'!$E$5:$E$208, 'SelloutPlan v1Main'!$X$5:$X$208)), "")</f>
        <v/>
      </c>
      <c r="W44" s="83" t="str">
        <f ca="1">IFERROR(IF(VLOOKUP(ROWS($O$39:X43), 'SelloutPlan v1Main'!$E$5:$AP$209, 25, FALSE) = 0, "", VLOOKUP(ROWS($O$39:X43), 'SelloutPlan v1Main'!$E$5:$AP$209, 24, FALSE)), "")</f>
        <v>127 Days</v>
      </c>
      <c r="Y44"/>
      <c r="Z44" s="13"/>
      <c r="AA44"/>
      <c r="AF44" s="13"/>
      <c r="AG44"/>
    </row>
    <row r="45" spans="1:67" ht="88.95" customHeight="1" x14ac:dyDescent="0.45">
      <c r="B45" s="15">
        <v>6</v>
      </c>
      <c r="C45" s="90" t="str">
        <f>IFERROR(VLOOKUP(ROWS($C$39:C44), 'SelloutPlan v1Main'!$D$5:$AC$208,12, FALSE), "")</f>
        <v/>
      </c>
      <c r="D45" s="90" t="str">
        <f>IFERROR(VLOOKUP(ROWS($C$39:D44), 'SelloutPlan v1Main'!$D$5:$AC$208,11, FALSE), "")</f>
        <v/>
      </c>
      <c r="E45" s="90" t="str">
        <f>IFERROR(VLOOKUP(ROWS($C$39:E44), 'SelloutPlan v1Main'!$D$5:$AC$208,9, FALSE), "")</f>
        <v/>
      </c>
      <c r="F45" s="90" t="str">
        <f>IFERROR(VLOOKUP(ROWS($C$39:F44), 'SelloutPlan v1Main'!$D$5:$AC$208,7, FALSE), "")</f>
        <v/>
      </c>
      <c r="G45" s="91" t="str">
        <f>IFERROR(VLOOKUP(ROWS($C$39:G44), 'SelloutPlan v1Main'!$D$5:$AC$208,16, FALSE), "")</f>
        <v/>
      </c>
      <c r="H45" s="123" t="str">
        <f>IFERROR(VLOOKUP(ROWS($C$39:G44), 'SelloutPlan v1Main'!$D$5:$AC$208,17, FALSE), "")</f>
        <v/>
      </c>
      <c r="I45" s="92" t="str">
        <f>IFERROR(VLOOKUP(ROWS($C$39:H44), 'SelloutPlan v1Main'!$D$5:$AC$208,3, FALSE), "")</f>
        <v/>
      </c>
      <c r="J45" s="92" t="str">
        <f>IFERROR(VLOOKUP(ROWS($C$39:I44), 'SelloutPlan v1Main'!$D$5:$AC$208,10, FALSE), "")</f>
        <v/>
      </c>
      <c r="K45" s="93" t="str">
        <f>IFERROR(VLOOKUP(ROWS($C$39:J44), 'SelloutPlan v1Main'!$D$5:$AC$208,14, FALSE), "")</f>
        <v/>
      </c>
      <c r="L45" s="51" t="str">
        <f>IFERROR(VLOOKUP(ROWS($C$39:K44), 'SelloutPlan v1Main'!$D$5:$AC$208,25, FALSE), "")</f>
        <v/>
      </c>
      <c r="M45" s="38"/>
      <c r="N45" s="38"/>
      <c r="O45" s="81" t="str">
        <f>IFERROR(VLOOKUP(ROWS($O$39:U44),'SelloutPlan v1Main'!$E$5:$AC$208,2,FALSE),"")</f>
        <v>Maaz</v>
      </c>
      <c r="P45" s="82" t="str">
        <f>IFERROR(VLOOKUP(ROWS($O$39:U44),'SelloutPlan v1Main'!$E$5:$AC$208,12,FALSE),"")</f>
        <v>Traditionnelle self-winding ultra-thin</v>
      </c>
      <c r="Q45" s="82" t="str">
        <f>IFERROR(VLOOKUP(ROWS($O$39:V44),'SelloutPlan v1Main'!$E$5:$AC$208,13,FALSE),"")</f>
        <v>116,000 AED</v>
      </c>
      <c r="R45" s="83" t="str">
        <f>IFERROR(VLOOKUP(ROWS($O$39:U44),'SelloutPlan v1Main'!$E$5:$AC$208,7,FALSE),"")</f>
        <v>Boutique Stock</v>
      </c>
      <c r="S45" s="84" t="str">
        <f>IFERROR(VLOOKUP(ROWS($O$39:U44),'SelloutPlan v1Main'!$E$5:$AC$208,11,FALSE),"")</f>
        <v>43075/000R-9737</v>
      </c>
      <c r="T45" s="81" t="str">
        <f>IFERROR(VLOOKUP(ROWS($O$39:U44),'SelloutPlan v1Main'!$E$5:$AC$208,10,FALSE),"")</f>
        <v>Middle East (UAE)</v>
      </c>
      <c r="U45" s="83" t="str">
        <f>IFERROR(VLOOKUP(ROWS($O$39:U44),'SelloutPlan v1Main'!$E$5:$AC$208,16,FALSE),"")</f>
        <v>Na</v>
      </c>
      <c r="V45" s="83" t="str">
        <f>IFERROR(IF(_xlfn.XLOOKUP(ROWS($O$39:W45), 'SelloutPlan v1Main'!$E$5:$E$208, 'SelloutPlan v1Main'!$X$5:$X$208) = 0, "", _xlfn.XLOOKUP(ROWS($O$39:W45), 'SelloutPlan v1Main'!$E$5:$E$208, 'SelloutPlan v1Main'!$X$5:$X$208)), "")</f>
        <v/>
      </c>
      <c r="W45" s="83" t="str">
        <f ca="1">IFERROR(IF(VLOOKUP(ROWS($O$39:X44), 'SelloutPlan v1Main'!$E$5:$AP$209, 25, FALSE) = 0, "", VLOOKUP(ROWS($O$39:X44), 'SelloutPlan v1Main'!$E$5:$AP$209, 24, FALSE)), "")</f>
        <v>113 Days</v>
      </c>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row>
    <row r="46" spans="1:67" ht="30" customHeight="1" x14ac:dyDescent="0.45">
      <c r="B46" s="15">
        <v>7</v>
      </c>
      <c r="C46" s="90" t="str">
        <f>IFERROR(VLOOKUP(ROWS($C$39:C45), 'SelloutPlan v1Main'!$D$5:$AC$208,12, FALSE), "")</f>
        <v/>
      </c>
      <c r="D46" s="90" t="str">
        <f>IFERROR(VLOOKUP(ROWS($C$39:D45), 'SelloutPlan v1Main'!$D$5:$AC$208,11, FALSE), "")</f>
        <v/>
      </c>
      <c r="E46" s="90" t="str">
        <f>IFERROR(VLOOKUP(ROWS($C$39:E45), 'SelloutPlan v1Main'!$D$5:$AC$208,9, FALSE), "")</f>
        <v/>
      </c>
      <c r="F46" s="90" t="str">
        <f>IFERROR(VLOOKUP(ROWS($C$39:F45), 'SelloutPlan v1Main'!$D$5:$AC$208,7, FALSE), "")</f>
        <v/>
      </c>
      <c r="G46" s="91" t="str">
        <f>IFERROR(VLOOKUP(ROWS($C$39:G45), 'SelloutPlan v1Main'!$D$5:$AC$208,16, FALSE), "")</f>
        <v/>
      </c>
      <c r="H46" s="123" t="str">
        <f>IFERROR(VLOOKUP(ROWS($C$39:G45), 'SelloutPlan v1Main'!$D$5:$AC$208,17, FALSE), "")</f>
        <v/>
      </c>
      <c r="I46" s="92" t="str">
        <f>IFERROR(VLOOKUP(ROWS($C$39:H45), 'SelloutPlan v1Main'!$D$5:$AC$208,3, FALSE), "")</f>
        <v/>
      </c>
      <c r="J46" s="92" t="str">
        <f>IFERROR(VLOOKUP(ROWS($C$39:I45), 'SelloutPlan v1Main'!$D$5:$AC$208,10, FALSE), "")</f>
        <v/>
      </c>
      <c r="K46" s="93" t="str">
        <f>IFERROR(VLOOKUP(ROWS($C$39:J45), 'SelloutPlan v1Main'!$D$5:$AC$208,14, FALSE), "")</f>
        <v/>
      </c>
      <c r="L46" s="51" t="str">
        <f>IFERROR(VLOOKUP(ROWS($C$39:K45), 'SelloutPlan v1Main'!$D$5:$AC$208,25, FALSE), "")</f>
        <v/>
      </c>
      <c r="M46" s="38"/>
      <c r="N46" s="38"/>
      <c r="O46" s="81" t="str">
        <f>IFERROR(VLOOKUP(ROWS($O$39:U45),'SelloutPlan v1Main'!$E$5:$AC$208,2,FALSE),"")</f>
        <v/>
      </c>
      <c r="P46" s="82" t="str">
        <f>IFERROR(VLOOKUP(ROWS($O$39:U45),'SelloutPlan v1Main'!$E$5:$AC$208,12,FALSE),"")</f>
        <v/>
      </c>
      <c r="Q46" s="82" t="str">
        <f>IFERROR(VLOOKUP(ROWS($O$39:V45),'SelloutPlan v1Main'!$E$5:$AC$208,13,FALSE),"")</f>
        <v/>
      </c>
      <c r="R46" s="83" t="str">
        <f>IFERROR(VLOOKUP(ROWS($O$39:U45),'SelloutPlan v1Main'!$E$5:$AC$208,7,FALSE),"")</f>
        <v/>
      </c>
      <c r="S46" s="84" t="str">
        <f>IFERROR(VLOOKUP(ROWS($O$39:U45),'SelloutPlan v1Main'!$E$5:$AC$208,11,FALSE),"")</f>
        <v/>
      </c>
      <c r="T46" s="81" t="str">
        <f>IFERROR(VLOOKUP(ROWS($O$39:U45),'SelloutPlan v1Main'!$E$5:$AC$208,10,FALSE),"")</f>
        <v/>
      </c>
      <c r="U46" s="83" t="str">
        <f>IFERROR(VLOOKUP(ROWS($O$39:U45),'SelloutPlan v1Main'!$E$5:$AC$208,16,FALSE),"")</f>
        <v/>
      </c>
      <c r="V46" s="83" t="str">
        <f>IFERROR(IF(_xlfn.XLOOKUP(ROWS($O$39:W46), 'SelloutPlan v1Main'!$E$5:$E$208, 'SelloutPlan v1Main'!$X$5:$X$208) = 0, "", _xlfn.XLOOKUP(ROWS($O$39:W46), 'SelloutPlan v1Main'!$E$5:$E$208, 'SelloutPlan v1Main'!$X$5:$X$208)), "")</f>
        <v/>
      </c>
      <c r="W46" s="83" t="str">
        <f>IFERROR(IF(VLOOKUP(ROWS($O$39:X45), 'SelloutPlan v1Main'!$E$5:$AP$209, 25, FALSE) = 0, "", VLOOKUP(ROWS($O$39:X45), 'SelloutPlan v1Main'!$E$5:$AP$209, 24, FALSE)), "")</f>
        <v/>
      </c>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row>
    <row r="47" spans="1:67" ht="17.399999999999999" x14ac:dyDescent="0.45">
      <c r="B47" s="15">
        <v>8</v>
      </c>
      <c r="C47" s="90" t="str">
        <f>IFERROR(VLOOKUP(ROWS($C$39:C46), 'SelloutPlan v1Main'!$D$5:$AC$208,12, FALSE), "")</f>
        <v/>
      </c>
      <c r="D47" s="90" t="str">
        <f>IFERROR(VLOOKUP(ROWS($C$39:D46), 'SelloutPlan v1Main'!$D$5:$AC$208,11, FALSE), "")</f>
        <v/>
      </c>
      <c r="E47" s="90" t="str">
        <f>IFERROR(VLOOKUP(ROWS($C$39:E46), 'SelloutPlan v1Main'!$D$5:$AC$208,9, FALSE), "")</f>
        <v/>
      </c>
      <c r="F47" s="90" t="str">
        <f>IFERROR(VLOOKUP(ROWS($C$39:F46), 'SelloutPlan v1Main'!$D$5:$AC$208,7, FALSE), "")</f>
        <v/>
      </c>
      <c r="G47" s="91" t="str">
        <f>IFERROR(VLOOKUP(ROWS($C$39:G46), 'SelloutPlan v1Main'!$D$5:$AC$208,16, FALSE), "")</f>
        <v/>
      </c>
      <c r="H47" s="123" t="str">
        <f>IFERROR(VLOOKUP(ROWS($C$39:G46), 'SelloutPlan v1Main'!$D$5:$AC$208,17, FALSE), "")</f>
        <v/>
      </c>
      <c r="I47" s="92" t="str">
        <f>IFERROR(VLOOKUP(ROWS($C$39:H46), 'SelloutPlan v1Main'!$D$5:$AC$208,3, FALSE), "")</f>
        <v/>
      </c>
      <c r="J47" s="92" t="str">
        <f>IFERROR(VLOOKUP(ROWS($C$39:I46), 'SelloutPlan v1Main'!$D$5:$AC$208,10, FALSE), "")</f>
        <v/>
      </c>
      <c r="K47" s="92" t="str">
        <f>IFERROR(VLOOKUP(ROWS($C$39:J46), 'SelloutPlan v1Main'!$D$5:$AC$208,14, FALSE), "")</f>
        <v/>
      </c>
      <c r="L47" s="51" t="str">
        <f>IFERROR(VLOOKUP(ROWS($C$39:K46), 'SelloutPlan v1Main'!$D$5:$AC$208,25, FALSE), "")</f>
        <v/>
      </c>
      <c r="M47" s="38"/>
      <c r="N47" s="38"/>
      <c r="O47" s="81" t="str">
        <f>IFERROR(VLOOKUP(ROWS($O$39:U46),'SelloutPlan v1Main'!$E$5:$AC$208,2,FALSE),"")</f>
        <v/>
      </c>
      <c r="P47" s="82" t="str">
        <f>IFERROR(VLOOKUP(ROWS($O$39:U46),'SelloutPlan v1Main'!$E$5:$AC$208,12,FALSE),"")</f>
        <v/>
      </c>
      <c r="Q47" s="82" t="str">
        <f>IFERROR(VLOOKUP(ROWS($O$39:V46),'SelloutPlan v1Main'!$E$5:$AC$208,13,FALSE),"")</f>
        <v/>
      </c>
      <c r="R47" s="83" t="str">
        <f>IFERROR(VLOOKUP(ROWS($O$39:U46),'SelloutPlan v1Main'!$E$5:$AC$208,7,FALSE),"")</f>
        <v/>
      </c>
      <c r="S47" s="84" t="str">
        <f>IFERROR(VLOOKUP(ROWS($O$39:U46),'SelloutPlan v1Main'!$E$5:$AC$208,11,FALSE),"")</f>
        <v/>
      </c>
      <c r="T47" s="81" t="str">
        <f>IFERROR(VLOOKUP(ROWS($O$39:U46),'SelloutPlan v1Main'!$E$5:$AC$208,10,FALSE),"")</f>
        <v/>
      </c>
      <c r="U47" s="83" t="str">
        <f>IFERROR(VLOOKUP(ROWS($O$39:U46),'SelloutPlan v1Main'!$E$5:$AC$208,16,FALSE),"")</f>
        <v/>
      </c>
      <c r="V47" s="83" t="str">
        <f>IFERROR(IF(_xlfn.XLOOKUP(ROWS($O$39:W47), 'SelloutPlan v1Main'!$E$5:$E$208, 'SelloutPlan v1Main'!$X$5:$X$208) = 0, "", _xlfn.XLOOKUP(ROWS($O$39:W47), 'SelloutPlan v1Main'!$E$5:$E$208, 'SelloutPlan v1Main'!$X$5:$X$208)), "")</f>
        <v/>
      </c>
      <c r="W47" s="83" t="str">
        <f>IFERROR(IF(VLOOKUP(ROWS($O$39:X46), 'SelloutPlan v1Main'!$E$5:$AP$209, 25, FALSE) = 0, "", VLOOKUP(ROWS($O$39:X46), 'SelloutPlan v1Main'!$E$5:$AP$209, 24, FALSE)), "")</f>
        <v/>
      </c>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row>
    <row r="48" spans="1:67" ht="17.399999999999999" x14ac:dyDescent="0.45">
      <c r="B48" s="15">
        <v>9</v>
      </c>
      <c r="C48" s="90" t="str">
        <f>IFERROR(VLOOKUP(ROWS($C$39:C47), 'SelloutPlan v1Main'!$D$5:$AC$208,12, FALSE), "")</f>
        <v/>
      </c>
      <c r="D48" s="90" t="str">
        <f>IFERROR(VLOOKUP(ROWS($C$39:D47), 'SelloutPlan v1Main'!$D$5:$AC$208,11, FALSE), "")</f>
        <v/>
      </c>
      <c r="E48" s="90" t="str">
        <f>IFERROR(VLOOKUP(ROWS($C$39:E47), 'SelloutPlan v1Main'!$D$5:$AC$208,9, FALSE), "")</f>
        <v/>
      </c>
      <c r="F48" s="90" t="str">
        <f>IFERROR(VLOOKUP(ROWS($C$39:F47), 'SelloutPlan v1Main'!$D$5:$AC$208,7, FALSE), "")</f>
        <v/>
      </c>
      <c r="G48" s="91" t="str">
        <f>IFERROR(VLOOKUP(ROWS($C$39:G47), 'SelloutPlan v1Main'!$D$5:$AC$208,16, FALSE), "")</f>
        <v/>
      </c>
      <c r="H48" s="123" t="str">
        <f>IFERROR(VLOOKUP(ROWS($C$39:G47), 'SelloutPlan v1Main'!$D$5:$AC$208,17, FALSE), "")</f>
        <v/>
      </c>
      <c r="I48" s="92" t="str">
        <f>IFERROR(VLOOKUP(ROWS($C$39:H47), 'SelloutPlan v1Main'!$D$5:$AC$208,3, FALSE), "")</f>
        <v/>
      </c>
      <c r="J48" s="92" t="str">
        <f>IFERROR(VLOOKUP(ROWS($C$39:I47), 'SelloutPlan v1Main'!$D$5:$AC$208,10, FALSE), "")</f>
        <v/>
      </c>
      <c r="K48" s="92" t="str">
        <f>IFERROR(VLOOKUP(ROWS($C$39:J47), 'SelloutPlan v1Main'!$D$5:$AC$208,14, FALSE), "")</f>
        <v/>
      </c>
      <c r="L48" s="129" t="str">
        <f>IFERROR(VLOOKUP(ROWS($C$39:K47), 'SelloutPlan v1Main'!$D$5:$AC$208,25, FALSE), "")</f>
        <v/>
      </c>
      <c r="M48" s="38"/>
      <c r="N48" s="38"/>
      <c r="O48" s="81" t="str">
        <f>IFERROR(VLOOKUP(ROWS($O$39:U47),'SelloutPlan v1Main'!$E$5:$AC$208,2,FALSE),"")</f>
        <v/>
      </c>
      <c r="P48" s="82" t="str">
        <f>IFERROR(VLOOKUP(ROWS($O$39:U47),'SelloutPlan v1Main'!$E$5:$AC$208,12,FALSE),"")</f>
        <v/>
      </c>
      <c r="Q48" s="82" t="str">
        <f>IFERROR(VLOOKUP(ROWS($O$39:V47),'SelloutPlan v1Main'!$E$5:$AC$208,13,FALSE),"")</f>
        <v/>
      </c>
      <c r="R48" s="83" t="str">
        <f>IFERROR(VLOOKUP(ROWS($O$39:U47),'SelloutPlan v1Main'!$E$5:$AC$208,7,FALSE),"")</f>
        <v/>
      </c>
      <c r="S48" s="84" t="str">
        <f>IFERROR(VLOOKUP(ROWS($O$39:U47),'SelloutPlan v1Main'!$E$5:$AC$208,11,FALSE),"")</f>
        <v/>
      </c>
      <c r="T48" s="81" t="str">
        <f>IFERROR(VLOOKUP(ROWS($O$39:U47),'SelloutPlan v1Main'!$E$5:$AC$208,10,FALSE),"")</f>
        <v/>
      </c>
      <c r="U48" s="83" t="str">
        <f>IFERROR(VLOOKUP(ROWS($O$39:U47),'SelloutPlan v1Main'!$E$5:$AC$208,16,FALSE),"")</f>
        <v/>
      </c>
      <c r="V48" s="83" t="str">
        <f>IFERROR(IF(_xlfn.XLOOKUP(ROWS($O$39:W48), 'SelloutPlan v1Main'!$E$5:$E$208, 'SelloutPlan v1Main'!$X$5:$X$208) = 0, "", _xlfn.XLOOKUP(ROWS($O$39:W48), 'SelloutPlan v1Main'!$E$5:$E$208, 'SelloutPlan v1Main'!$X$5:$X$208)), "")</f>
        <v/>
      </c>
      <c r="W48" s="83" t="str">
        <f>IFERROR(IF(VLOOKUP(ROWS($O$39:X47), 'SelloutPlan v1Main'!$E$5:$AP$209, 25, FALSE) = 0, "", VLOOKUP(ROWS($O$39:X47), 'SelloutPlan v1Main'!$E$5:$AP$209, 24, FALSE)), "")</f>
        <v/>
      </c>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row>
    <row r="49" spans="2:49" ht="17.399999999999999" x14ac:dyDescent="0.45">
      <c r="B49" s="15">
        <v>10</v>
      </c>
      <c r="C49" s="90" t="str">
        <f>IFERROR(VLOOKUP(ROWS($C$39:C48), 'SelloutPlan v1Main'!$D$5:$AC$208,12, FALSE), "")</f>
        <v/>
      </c>
      <c r="D49" s="90" t="str">
        <f>IFERROR(VLOOKUP(ROWS($C$39:D48), 'SelloutPlan v1Main'!$D$5:$AC$208,11, FALSE), "")</f>
        <v/>
      </c>
      <c r="E49" s="90" t="str">
        <f>IFERROR(VLOOKUP(ROWS($C$39:E48), 'SelloutPlan v1Main'!$D$5:$AC$208,9, FALSE), "")</f>
        <v/>
      </c>
      <c r="F49" s="90" t="str">
        <f>IFERROR(VLOOKUP(ROWS($C$39:F48), 'SelloutPlan v1Main'!$D$5:$AC$208,7, FALSE), "")</f>
        <v/>
      </c>
      <c r="G49" s="91" t="str">
        <f>IFERROR(VLOOKUP(ROWS($C$39:G48), 'SelloutPlan v1Main'!$D$5:$AC$208,16, FALSE), "")</f>
        <v/>
      </c>
      <c r="H49" s="123" t="str">
        <f>IFERROR(VLOOKUP(ROWS($C$39:G48), 'SelloutPlan v1Main'!$D$5:$AC$208,17, FALSE), "")</f>
        <v/>
      </c>
      <c r="I49" s="92" t="str">
        <f>IFERROR(VLOOKUP(ROWS($C$39:H48), 'SelloutPlan v1Main'!$D$5:$AC$208,3, FALSE), "")</f>
        <v/>
      </c>
      <c r="J49" s="92" t="str">
        <f>IFERROR(VLOOKUP(ROWS($C$39:I48), 'SelloutPlan v1Main'!$D$5:$AC$208,10, FALSE), "")</f>
        <v/>
      </c>
      <c r="K49" s="92" t="str">
        <f>IFERROR(VLOOKUP(ROWS($C$39:J48), 'SelloutPlan v1Main'!$D$5:$AC$208,14, FALSE), "")</f>
        <v/>
      </c>
      <c r="L49" s="129" t="str">
        <f>IFERROR(VLOOKUP(ROWS($C$39:K48), 'SelloutPlan v1Main'!$D$5:$AC$208,25, FALSE), "")</f>
        <v/>
      </c>
      <c r="M49" s="38"/>
      <c r="N49" s="38"/>
      <c r="O49" s="81" t="str">
        <f>IFERROR(VLOOKUP(ROWS($O$39:U48),'SelloutPlan v1Main'!$E$5:$AC$208,2,FALSE),"")</f>
        <v/>
      </c>
      <c r="P49" s="82" t="str">
        <f>IFERROR(VLOOKUP(ROWS($O$39:U48),'SelloutPlan v1Main'!$E$5:$AC$208,12,FALSE),"")</f>
        <v/>
      </c>
      <c r="Q49" s="82" t="str">
        <f>IFERROR(VLOOKUP(ROWS($O$39:V48),'SelloutPlan v1Main'!$E$5:$AC$208,13,FALSE),"")</f>
        <v/>
      </c>
      <c r="R49" s="83" t="str">
        <f>IFERROR(VLOOKUP(ROWS($O$39:U48),'SelloutPlan v1Main'!$E$5:$AC$208,7,FALSE),"")</f>
        <v/>
      </c>
      <c r="S49" s="84" t="str">
        <f>IFERROR(VLOOKUP(ROWS($O$39:U48),'SelloutPlan v1Main'!$E$5:$AC$208,11,FALSE),"")</f>
        <v/>
      </c>
      <c r="T49" s="81" t="str">
        <f>IFERROR(VLOOKUP(ROWS($O$39:U48),'SelloutPlan v1Main'!$E$5:$AC$208,10,FALSE),"")</f>
        <v/>
      </c>
      <c r="U49" s="83" t="str">
        <f>IFERROR(VLOOKUP(ROWS($O$39:U48),'SelloutPlan v1Main'!$E$5:$AC$208,16,FALSE),"")</f>
        <v/>
      </c>
      <c r="V49" s="83" t="str">
        <f>IFERROR(IF(_xlfn.XLOOKUP(ROWS($O$39:W49), 'SelloutPlan v1Main'!$E$5:$E$208, 'SelloutPlan v1Main'!$X$5:$X$208) = 0, "", _xlfn.XLOOKUP(ROWS($O$39:W49), 'SelloutPlan v1Main'!$E$5:$E$208, 'SelloutPlan v1Main'!$X$5:$X$208)), "")</f>
        <v/>
      </c>
      <c r="W49" s="83" t="str">
        <f>IFERROR(IF(VLOOKUP(ROWS($O$39:X48), 'SelloutPlan v1Main'!$E$5:$AP$209, 25, FALSE) = 0, "", VLOOKUP(ROWS($O$39:X48), 'SelloutPlan v1Main'!$E$5:$AP$209, 24, FALSE)), "")</f>
        <v/>
      </c>
      <c r="Y49"/>
      <c r="Z49"/>
      <c r="AA49"/>
      <c r="AB49"/>
      <c r="AC49"/>
      <c r="AD49"/>
      <c r="AE49"/>
      <c r="AF49"/>
      <c r="AG49"/>
      <c r="AH49"/>
      <c r="AI49"/>
      <c r="AJ49"/>
      <c r="AK49"/>
      <c r="AL49"/>
      <c r="AM49"/>
      <c r="AN49"/>
      <c r="AO49"/>
      <c r="AP49"/>
      <c r="AQ49"/>
      <c r="AR49"/>
      <c r="AS49"/>
      <c r="AT49"/>
      <c r="AU49"/>
      <c r="AV49"/>
      <c r="AW49"/>
    </row>
    <row r="50" spans="2:49" ht="17.399999999999999" x14ac:dyDescent="0.45">
      <c r="B50" s="15">
        <v>11</v>
      </c>
      <c r="C50" s="90" t="str">
        <f>IFERROR(VLOOKUP(ROWS($C$39:C49), 'SelloutPlan v1Main'!$D$5:$AC$208,12, FALSE), "")</f>
        <v/>
      </c>
      <c r="D50" s="17" t="str">
        <f>IFERROR(VLOOKUP(ROWS($C$39:D49), 'SelloutPlan v1Main'!$D$5:$AC$208,11, FALSE), "")</f>
        <v/>
      </c>
      <c r="E50" s="17" t="str">
        <f>IFERROR(VLOOKUP(ROWS($C$39:E49), 'SelloutPlan v1Main'!$D$5:$AC$208,9, FALSE), "")</f>
        <v/>
      </c>
      <c r="F50" s="90" t="str">
        <f>IFERROR(VLOOKUP(ROWS($C$39:F49), 'SelloutPlan v1Main'!$D$5:$AC$208,7, FALSE), "")</f>
        <v/>
      </c>
      <c r="G50" s="91" t="str">
        <f>IFERROR(VLOOKUP(ROWS($C$39:G49), 'SelloutPlan v1Main'!$D$5:$AC$208,16, FALSE), "")</f>
        <v/>
      </c>
      <c r="H50" s="123" t="str">
        <f>IFERROR(VLOOKUP(ROWS($C$39:G49), 'SelloutPlan v1Main'!$D$5:$AC$208,17, FALSE), "")</f>
        <v/>
      </c>
      <c r="I50" s="92" t="str">
        <f>IFERROR(VLOOKUP(ROWS($C$39:H49), 'SelloutPlan v1Main'!$D$5:$AC$208,3, FALSE), "")</f>
        <v/>
      </c>
      <c r="J50" s="92" t="str">
        <f>IFERROR(VLOOKUP(ROWS($C$39:I49), 'SelloutPlan v1Main'!$D$5:$AC$208,10, FALSE), "")</f>
        <v/>
      </c>
      <c r="K50" s="92" t="str">
        <f>IFERROR(VLOOKUP(ROWS($C$39:J49), 'SelloutPlan v1Main'!$D$5:$AC$208,14, FALSE), "")</f>
        <v/>
      </c>
      <c r="L50" s="129" t="str">
        <f>IFERROR(VLOOKUP(ROWS($C$39:K49), 'SelloutPlan v1Main'!$D$5:$AC$208,25, FALSE), "")</f>
        <v/>
      </c>
      <c r="O50" s="27" t="str">
        <f>IFERROR(VLOOKUP(ROWS($O$39:U49),'SelloutPlan v1Main'!$E$5:$AC$208,2,FALSE),"")</f>
        <v/>
      </c>
      <c r="P50" s="31" t="str">
        <f>IFERROR(VLOOKUP(ROWS($O$39:U49),'SelloutPlan v1Main'!$E$5:$AC$208,12,FALSE),"")</f>
        <v/>
      </c>
      <c r="Q50" s="82" t="str">
        <f>IFERROR(VLOOKUP(ROWS($O$39:V49),'SelloutPlan v1Main'!$E$5:$AC$208,13,FALSE),"")</f>
        <v/>
      </c>
      <c r="R50" s="28" t="str">
        <f>IFERROR(VLOOKUP(ROWS($O$39:U49),'SelloutPlan v1Main'!$E$5:$AC$208,7,FALSE),"")</f>
        <v/>
      </c>
      <c r="S50" s="40" t="str">
        <f>IFERROR(VLOOKUP(ROWS($O$39:U49),'SelloutPlan v1Main'!$E$5:$AC$208,11,FALSE),"")</f>
        <v/>
      </c>
      <c r="T50" s="27" t="str">
        <f>IFERROR(VLOOKUP(ROWS($O$39:U49),'SelloutPlan v1Main'!$E$5:$AC$208,10,FALSE),"")</f>
        <v/>
      </c>
      <c r="U50" s="83" t="str">
        <f>IFERROR(VLOOKUP(ROWS($O$39:U49),'SelloutPlan v1Main'!$E$5:$AC$208,16,FALSE),"")</f>
        <v/>
      </c>
      <c r="V50" s="28" t="str">
        <f>IFERROR(IF(_xlfn.XLOOKUP(ROWS($O$39:W50), 'SelloutPlan v1Main'!$E$5:$E$208, 'SelloutPlan v1Main'!$X$5:$X$208) = 0, "", _xlfn.XLOOKUP(ROWS($O$39:W50), 'SelloutPlan v1Main'!$E$5:$E$208, 'SelloutPlan v1Main'!$X$5:$X$208)), "")</f>
        <v/>
      </c>
      <c r="W50" s="83" t="str">
        <f>IFERROR(IF(VLOOKUP(ROWS($O$39:X49), 'SelloutPlan v1Main'!$E$5:$AP$209, 25, FALSE) = 0, "", VLOOKUP(ROWS($O$39:X49), 'SelloutPlan v1Main'!$E$5:$AP$209, 24, FALSE)), "")</f>
        <v/>
      </c>
      <c r="Y50"/>
      <c r="Z50"/>
      <c r="AA50"/>
      <c r="AB50"/>
      <c r="AC50"/>
      <c r="AD50"/>
      <c r="AE50"/>
      <c r="AF50"/>
      <c r="AG50"/>
      <c r="AH50"/>
      <c r="AI50"/>
      <c r="AJ50"/>
      <c r="AK50"/>
      <c r="AL50"/>
      <c r="AM50"/>
      <c r="AN50"/>
      <c r="AO50"/>
      <c r="AP50"/>
      <c r="AQ50"/>
      <c r="AR50"/>
      <c r="AS50"/>
      <c r="AT50"/>
      <c r="AU50"/>
      <c r="AV50"/>
      <c r="AW50"/>
    </row>
    <row r="51" spans="2:49" ht="17.399999999999999" x14ac:dyDescent="0.45">
      <c r="B51" s="15">
        <v>12</v>
      </c>
      <c r="C51" s="90" t="str">
        <f>IFERROR(VLOOKUP(ROWS($C$39:C50), 'SelloutPlan v1Main'!$D$5:$AC$208,12, FALSE), "")</f>
        <v/>
      </c>
      <c r="D51" s="17" t="str">
        <f>IFERROR(VLOOKUP(ROWS($C$39:D50), 'SelloutPlan v1Main'!$D$5:$AC$208,11, FALSE), "")</f>
        <v/>
      </c>
      <c r="E51" s="17" t="str">
        <f>IFERROR(VLOOKUP(ROWS($C$39:E50), 'SelloutPlan v1Main'!$D$5:$AC$208,9, FALSE), "")</f>
        <v/>
      </c>
      <c r="F51" s="90" t="str">
        <f>IFERROR(VLOOKUP(ROWS($C$39:F50), 'SelloutPlan v1Main'!$D$5:$AC$208,7, FALSE), "")</f>
        <v/>
      </c>
      <c r="G51" s="91" t="str">
        <f>IFERROR(VLOOKUP(ROWS($C$39:G50), 'SelloutPlan v1Main'!$D$5:$AC$208,16, FALSE), "")</f>
        <v/>
      </c>
      <c r="H51" s="123" t="str">
        <f>IFERROR(VLOOKUP(ROWS($C$39:G50), 'SelloutPlan v1Main'!$D$5:$AC$208,17, FALSE), "")</f>
        <v/>
      </c>
      <c r="I51" s="92" t="str">
        <f>IFERROR(VLOOKUP(ROWS($C$39:H50), 'SelloutPlan v1Main'!$D$5:$AC$208,3, FALSE), "")</f>
        <v/>
      </c>
      <c r="J51" s="92" t="str">
        <f>IFERROR(VLOOKUP(ROWS($C$39:I50), 'SelloutPlan v1Main'!$D$5:$AC$208,10, FALSE), "")</f>
        <v/>
      </c>
      <c r="K51" s="92" t="str">
        <f>IFERROR(VLOOKUP(ROWS($C$39:J50), 'SelloutPlan v1Main'!$D$5:$AC$208,14, FALSE), "")</f>
        <v/>
      </c>
      <c r="L51" s="129" t="str">
        <f>IFERROR(VLOOKUP(ROWS($C$39:K50), 'SelloutPlan v1Main'!$D$5:$AC$208,25, FALSE), "")</f>
        <v/>
      </c>
      <c r="O51" s="27" t="str">
        <f>IFERROR(VLOOKUP(ROWS($O$39:U50),'SelloutPlan v1Main'!$E$5:$AC$208,2,FALSE),"")</f>
        <v/>
      </c>
      <c r="P51" s="31" t="str">
        <f>IFERROR(VLOOKUP(ROWS($O$39:U50),'SelloutPlan v1Main'!$E$5:$AC$208,12,FALSE),"")</f>
        <v/>
      </c>
      <c r="Q51" s="82" t="str">
        <f>IFERROR(VLOOKUP(ROWS($O$39:V50),'SelloutPlan v1Main'!$E$5:$AC$208,13,FALSE),"")</f>
        <v/>
      </c>
      <c r="R51" s="28" t="str">
        <f>IFERROR(VLOOKUP(ROWS($O$39:U50),'SelloutPlan v1Main'!$E$5:$AC$208,7,FALSE),"")</f>
        <v/>
      </c>
      <c r="S51" s="40" t="str">
        <f>IFERROR(VLOOKUP(ROWS($O$39:U50),'SelloutPlan v1Main'!$E$5:$AC$208,11,FALSE),"")</f>
        <v/>
      </c>
      <c r="T51" s="27" t="str">
        <f>IFERROR(VLOOKUP(ROWS($O$39:U50),'SelloutPlan v1Main'!$E$5:$AC$208,10,FALSE),"")</f>
        <v/>
      </c>
      <c r="U51" s="83" t="str">
        <f>IFERROR(VLOOKUP(ROWS($O$39:U50),'SelloutPlan v1Main'!$E$5:$AC$208,16,FALSE),"")</f>
        <v/>
      </c>
      <c r="V51" s="28" t="str">
        <f>IFERROR(IF(_xlfn.XLOOKUP(ROWS($O$39:W51), 'SelloutPlan v1Main'!$E$5:$E$208, 'SelloutPlan v1Main'!$X$5:$X$208) = 0, "", _xlfn.XLOOKUP(ROWS($O$39:W51), 'SelloutPlan v1Main'!$E$5:$E$208, 'SelloutPlan v1Main'!$X$5:$X$208)), "")</f>
        <v/>
      </c>
      <c r="W51" s="83" t="str">
        <f>IFERROR(IF(VLOOKUP(ROWS($O$39:X50), 'SelloutPlan v1Main'!$E$5:$AP$209, 25, FALSE) = 0, "", VLOOKUP(ROWS($O$39:X50), 'SelloutPlan v1Main'!$E$5:$AP$209, 24, FALSE)), "")</f>
        <v/>
      </c>
      <c r="Y51"/>
      <c r="Z51"/>
      <c r="AA51"/>
      <c r="AB51"/>
      <c r="AC51"/>
      <c r="AD51"/>
      <c r="AE51"/>
      <c r="AF51"/>
      <c r="AG51"/>
      <c r="AH51"/>
      <c r="AI51"/>
      <c r="AJ51"/>
      <c r="AK51"/>
      <c r="AL51"/>
      <c r="AM51"/>
      <c r="AN51"/>
      <c r="AO51"/>
      <c r="AP51"/>
      <c r="AQ51"/>
      <c r="AR51"/>
      <c r="AS51"/>
      <c r="AT51"/>
      <c r="AU51"/>
      <c r="AV51"/>
      <c r="AW51"/>
    </row>
    <row r="52" spans="2:49" ht="17.399999999999999" x14ac:dyDescent="0.45">
      <c r="B52" s="15">
        <v>13</v>
      </c>
      <c r="C52" s="90" t="str">
        <f>IFERROR(VLOOKUP(ROWS($C$39:C51), 'SelloutPlan v1Main'!$D$5:$AC$208,12, FALSE), "")</f>
        <v/>
      </c>
      <c r="D52" s="17" t="str">
        <f>IFERROR(VLOOKUP(ROWS($C$39:D51), 'SelloutPlan v1Main'!$D$5:$AC$208,11, FALSE), "")</f>
        <v/>
      </c>
      <c r="E52" s="17" t="str">
        <f>IFERROR(VLOOKUP(ROWS($C$39:E51), 'SelloutPlan v1Main'!$D$5:$AC$208,9, FALSE), "")</f>
        <v/>
      </c>
      <c r="F52" s="90" t="str">
        <f>IFERROR(VLOOKUP(ROWS($C$39:F51), 'SelloutPlan v1Main'!$D$5:$AC$208,7, FALSE), "")</f>
        <v/>
      </c>
      <c r="G52" s="91" t="str">
        <f>IFERROR(VLOOKUP(ROWS($C$39:G51), 'SelloutPlan v1Main'!$D$5:$AC$208,16, FALSE), "")</f>
        <v/>
      </c>
      <c r="H52" s="123" t="str">
        <f>IFERROR(VLOOKUP(ROWS($C$39:G51), 'SelloutPlan v1Main'!$D$5:$AC$208,17, FALSE), "")</f>
        <v/>
      </c>
      <c r="I52" s="92" t="str">
        <f>IFERROR(VLOOKUP(ROWS($C$39:H51), 'SelloutPlan v1Main'!$D$5:$AC$208,3, FALSE), "")</f>
        <v/>
      </c>
      <c r="J52" s="92" t="str">
        <f>IFERROR(VLOOKUP(ROWS($C$39:I51), 'SelloutPlan v1Main'!$D$5:$AC$208,10, FALSE), "")</f>
        <v/>
      </c>
      <c r="K52" s="92" t="str">
        <f>IFERROR(VLOOKUP(ROWS($C$39:J51), 'SelloutPlan v1Main'!$D$5:$AC$208,14, FALSE), "")</f>
        <v/>
      </c>
      <c r="L52" s="129" t="str">
        <f>IFERROR(VLOOKUP(ROWS($C$39:K51), 'SelloutPlan v1Main'!$D$5:$AC$208,25, FALSE), "")</f>
        <v/>
      </c>
      <c r="O52" s="27" t="str">
        <f>IFERROR(VLOOKUP(ROWS($O$39:U51),'SelloutPlan v1Main'!$E$5:$AC$208,2,FALSE),"")</f>
        <v/>
      </c>
      <c r="P52" s="31" t="str">
        <f>IFERROR(VLOOKUP(ROWS($O$39:U51),'SelloutPlan v1Main'!$E$5:$AC$208,12,FALSE),"")</f>
        <v/>
      </c>
      <c r="Q52" s="82" t="str">
        <f>IFERROR(VLOOKUP(ROWS($O$39:V51),'SelloutPlan v1Main'!$E$5:$AC$208,13,FALSE),"")</f>
        <v/>
      </c>
      <c r="R52" s="28" t="str">
        <f>IFERROR(VLOOKUP(ROWS($O$39:U51),'SelloutPlan v1Main'!$E$5:$AC$208,7,FALSE),"")</f>
        <v/>
      </c>
      <c r="S52" s="40" t="str">
        <f>IFERROR(VLOOKUP(ROWS($O$39:U51),'SelloutPlan v1Main'!$E$5:$AC$208,11,FALSE),"")</f>
        <v/>
      </c>
      <c r="T52" s="27" t="str">
        <f>IFERROR(VLOOKUP(ROWS($O$39:U51),'SelloutPlan v1Main'!$E$5:$AC$208,10,FALSE),"")</f>
        <v/>
      </c>
      <c r="U52" s="83" t="str">
        <f>IFERROR(VLOOKUP(ROWS($O$39:U51),'SelloutPlan v1Main'!$E$5:$AC$208,16,FALSE),"")</f>
        <v/>
      </c>
      <c r="V52" s="28" t="str">
        <f>IFERROR(IF(_xlfn.XLOOKUP(ROWS($O$39:W52), 'SelloutPlan v1Main'!$E$5:$E$208, 'SelloutPlan v1Main'!$X$5:$X$208) = 0, "", _xlfn.XLOOKUP(ROWS($O$39:W52), 'SelloutPlan v1Main'!$E$5:$E$208, 'SelloutPlan v1Main'!$X$5:$X$208)), "")</f>
        <v/>
      </c>
      <c r="W52" s="83" t="str">
        <f>IFERROR(IF(VLOOKUP(ROWS($O$39:X51), 'SelloutPlan v1Main'!$E$5:$AP$209, 25, FALSE) = 0, "", VLOOKUP(ROWS($O$39:X51), 'SelloutPlan v1Main'!$E$5:$AP$209, 24, FALSE)), "")</f>
        <v/>
      </c>
      <c r="Y52"/>
      <c r="Z52"/>
      <c r="AA52"/>
      <c r="AB52"/>
      <c r="AC52"/>
      <c r="AD52"/>
      <c r="AE52"/>
      <c r="AF52"/>
      <c r="AG52"/>
      <c r="AH52"/>
      <c r="AI52"/>
      <c r="AJ52"/>
      <c r="AK52"/>
      <c r="AL52"/>
      <c r="AM52"/>
      <c r="AN52"/>
      <c r="AO52"/>
      <c r="AP52"/>
      <c r="AQ52"/>
      <c r="AR52"/>
      <c r="AS52"/>
      <c r="AT52"/>
      <c r="AU52"/>
      <c r="AV52"/>
      <c r="AW52"/>
    </row>
    <row r="53" spans="2:49" ht="17.399999999999999" x14ac:dyDescent="0.45">
      <c r="B53" s="15">
        <v>14</v>
      </c>
      <c r="C53" s="90" t="str">
        <f>IFERROR(VLOOKUP(ROWS($C$39:C52), 'SelloutPlan v1Main'!$D$5:$AC$208,12, FALSE), "")</f>
        <v/>
      </c>
      <c r="D53" s="17" t="str">
        <f>IFERROR(VLOOKUP(ROWS($C$39:D52), 'SelloutPlan v1Main'!$D$5:$AC$208,11, FALSE), "")</f>
        <v/>
      </c>
      <c r="E53" s="17" t="str">
        <f>IFERROR(VLOOKUP(ROWS($C$39:E52), 'SelloutPlan v1Main'!$D$5:$AC$208,9, FALSE), "")</f>
        <v/>
      </c>
      <c r="F53" s="90" t="str">
        <f>IFERROR(VLOOKUP(ROWS($C$39:F52), 'SelloutPlan v1Main'!$D$5:$AC$208,7, FALSE), "")</f>
        <v/>
      </c>
      <c r="G53" s="91" t="str">
        <f>IFERROR(VLOOKUP(ROWS($C$39:G52), 'SelloutPlan v1Main'!$D$5:$AC$208,16, FALSE), "")</f>
        <v/>
      </c>
      <c r="H53" s="123" t="str">
        <f>IFERROR(VLOOKUP(ROWS($C$39:G52), 'SelloutPlan v1Main'!$D$5:$AC$208,17, FALSE), "")</f>
        <v/>
      </c>
      <c r="I53" s="92" t="str">
        <f>IFERROR(VLOOKUP(ROWS($C$39:H52), 'SelloutPlan v1Main'!$D$5:$AC$208,3, FALSE), "")</f>
        <v/>
      </c>
      <c r="J53" s="92" t="str">
        <f>IFERROR(VLOOKUP(ROWS($C$39:I52), 'SelloutPlan v1Main'!$D$5:$AC$208,10, FALSE), "")</f>
        <v/>
      </c>
      <c r="K53" s="92" t="str">
        <f>IFERROR(VLOOKUP(ROWS($C$39:J52), 'SelloutPlan v1Main'!$D$5:$AC$208,14, FALSE), "")</f>
        <v/>
      </c>
      <c r="L53" s="129" t="str">
        <f>IFERROR(VLOOKUP(ROWS($C$39:K52), 'SelloutPlan v1Main'!$D$5:$AC$208,10, FALSE), "")</f>
        <v/>
      </c>
      <c r="O53" s="27" t="str">
        <f>IFERROR(VLOOKUP(ROWS($O$39:U52),'SelloutPlan v1Main'!$E$5:$AC$208,2,FALSE),"")</f>
        <v/>
      </c>
      <c r="P53" s="31" t="str">
        <f>IFERROR(VLOOKUP(ROWS($O$39:U52),'SelloutPlan v1Main'!$E$5:$AC$208,12,FALSE),"")</f>
        <v/>
      </c>
      <c r="Q53" s="82" t="str">
        <f>IFERROR(VLOOKUP(ROWS($O$39:V52),'SelloutPlan v1Main'!$E$5:$AC$208,13,FALSE),"")</f>
        <v/>
      </c>
      <c r="R53" s="28" t="str">
        <f>IFERROR(VLOOKUP(ROWS($O$39:U52),'SelloutPlan v1Main'!$E$5:$AC$208,7,FALSE),"")</f>
        <v/>
      </c>
      <c r="S53" s="40" t="str">
        <f>IFERROR(VLOOKUP(ROWS($O$39:U52),'SelloutPlan v1Main'!$E$5:$AC$208,11,FALSE),"")</f>
        <v/>
      </c>
      <c r="T53" s="27" t="str">
        <f>IFERROR(VLOOKUP(ROWS($O$39:U52),'SelloutPlan v1Main'!$E$5:$AC$208,10,FALSE),"")</f>
        <v/>
      </c>
      <c r="U53" s="83" t="str">
        <f>IFERROR(VLOOKUP(ROWS($O$39:U52),'SelloutPlan v1Main'!$E$5:$AC$208,16,FALSE),"")</f>
        <v/>
      </c>
      <c r="V53" s="28" t="str">
        <f>IFERROR(IF(_xlfn.XLOOKUP(ROWS($O$39:W53), 'SelloutPlan v1Main'!$E$5:$E$208, 'SelloutPlan v1Main'!$X$5:$X$208) = 0, "", _xlfn.XLOOKUP(ROWS($O$39:W53), 'SelloutPlan v1Main'!$E$5:$E$208, 'SelloutPlan v1Main'!$X$5:$X$208)), "")</f>
        <v/>
      </c>
      <c r="W53" s="83" t="str">
        <f>IFERROR(IF(VLOOKUP(ROWS($O$39:X52), 'SelloutPlan v1Main'!$E$5:$AP$209, 25, FALSE) = 0, "", VLOOKUP(ROWS($O$39:X52), 'SelloutPlan v1Main'!$E$5:$AP$209, 24, FALSE)), "")</f>
        <v/>
      </c>
      <c r="Y53"/>
      <c r="Z53"/>
      <c r="AA53"/>
      <c r="AB53"/>
      <c r="AC53"/>
      <c r="AD53"/>
      <c r="AE53"/>
      <c r="AF53"/>
      <c r="AG53"/>
      <c r="AH53"/>
      <c r="AI53"/>
      <c r="AJ53"/>
      <c r="AK53"/>
      <c r="AL53"/>
      <c r="AM53"/>
      <c r="AN53"/>
      <c r="AO53"/>
      <c r="AP53"/>
      <c r="AQ53"/>
      <c r="AR53"/>
      <c r="AS53"/>
      <c r="AT53"/>
      <c r="AU53"/>
      <c r="AV53"/>
      <c r="AW53"/>
    </row>
    <row r="54" spans="2:49" ht="17.399999999999999" x14ac:dyDescent="0.45">
      <c r="B54" s="15">
        <v>15</v>
      </c>
      <c r="C54" s="90" t="str">
        <f>IFERROR(VLOOKUP(ROWS($C$39:C53), 'SelloutPlan v1Main'!$D$5:$AC$208,12, FALSE), "")</f>
        <v/>
      </c>
      <c r="D54" s="17" t="str">
        <f>IFERROR(VLOOKUP(ROWS($C$39:D53), 'SelloutPlan v1Main'!$D$5:$AC$208,11, FALSE), "")</f>
        <v/>
      </c>
      <c r="E54" s="17" t="str">
        <f>IFERROR(VLOOKUP(ROWS($C$39:E53), 'SelloutPlan v1Main'!$D$5:$AC$208,9, FALSE), "")</f>
        <v/>
      </c>
      <c r="F54" s="90" t="str">
        <f>IFERROR(VLOOKUP(ROWS($C$39:F53), 'SelloutPlan v1Main'!$D$5:$AC$208,7, FALSE), "")</f>
        <v/>
      </c>
      <c r="G54" s="91" t="str">
        <f>IFERROR(VLOOKUP(ROWS($C$39:G53), 'SelloutPlan v1Main'!$D$5:$AC$208,16, FALSE), "")</f>
        <v/>
      </c>
      <c r="H54" s="123" t="str">
        <f>IFERROR(VLOOKUP(ROWS($C$39:G53), 'SelloutPlan v1Main'!$D$5:$AC$208,17, FALSE), "")</f>
        <v/>
      </c>
      <c r="I54" s="92" t="str">
        <f>IFERROR(VLOOKUP(ROWS($C$39:H53), 'SelloutPlan v1Main'!$D$5:$AC$208,3, FALSE), "")</f>
        <v/>
      </c>
      <c r="J54" s="92" t="str">
        <f>IFERROR(VLOOKUP(ROWS($C$39:I53), 'SelloutPlan v1Main'!$D$5:$AC$208,10, FALSE), "")</f>
        <v/>
      </c>
      <c r="K54" s="92" t="str">
        <f>IFERROR(VLOOKUP(ROWS($C$39:J53), 'SelloutPlan v1Main'!$D$5:$AC$208,14, FALSE), "")</f>
        <v/>
      </c>
      <c r="L54" s="129" t="str">
        <f>IFERROR(VLOOKUP(ROWS($C$39:K53), 'SelloutPlan v1Main'!$D$5:$AC$208,10, FALSE), "")</f>
        <v/>
      </c>
      <c r="O54" s="27" t="str">
        <f>IFERROR(VLOOKUP(ROWS($O$39:U53),'SelloutPlan v1Main'!$E$5:$AC$208,2,FALSE),"")</f>
        <v/>
      </c>
      <c r="P54" s="31" t="str">
        <f>IFERROR(VLOOKUP(ROWS($O$39:U53),'SelloutPlan v1Main'!$E$5:$AC$208,12,FALSE),"")</f>
        <v/>
      </c>
      <c r="Q54" s="82" t="str">
        <f>IFERROR(VLOOKUP(ROWS($O$39:V53),'SelloutPlan v1Main'!$E$5:$AC$208,13,FALSE),"")</f>
        <v/>
      </c>
      <c r="R54" s="28" t="str">
        <f>IFERROR(VLOOKUP(ROWS($O$39:U53),'SelloutPlan v1Main'!$E$5:$AC$208,7,FALSE),"")</f>
        <v/>
      </c>
      <c r="S54" s="40" t="str">
        <f>IFERROR(VLOOKUP(ROWS($O$39:U53),'SelloutPlan v1Main'!$E$5:$AC$208,11,FALSE),"")</f>
        <v/>
      </c>
      <c r="T54" s="27" t="str">
        <f>IFERROR(VLOOKUP(ROWS($O$39:U53),'SelloutPlan v1Main'!$E$5:$AC$208,10,FALSE),"")</f>
        <v/>
      </c>
      <c r="U54" s="83" t="str">
        <f>IFERROR(VLOOKUP(ROWS($O$39:U53),'SelloutPlan v1Main'!$E$5:$AC$208,16,FALSE),"")</f>
        <v/>
      </c>
      <c r="V54" s="28" t="str">
        <f>IFERROR(IF(_xlfn.XLOOKUP(ROWS($O$39:W54), 'SelloutPlan v1Main'!$E$5:$E$208, 'SelloutPlan v1Main'!$X$5:$X$208) = 0, "", _xlfn.XLOOKUP(ROWS($O$39:W54), 'SelloutPlan v1Main'!$E$5:$E$208, 'SelloutPlan v1Main'!$X$5:$X$208)), "")</f>
        <v/>
      </c>
      <c r="W54" s="83" t="str">
        <f>IFERROR(IF(VLOOKUP(ROWS($O$39:X53), 'SelloutPlan v1Main'!$E$5:$AP$209, 25, FALSE) = 0, "", VLOOKUP(ROWS($O$39:X53), 'SelloutPlan v1Main'!$E$5:$AP$209, 24, FALSE)), "")</f>
        <v/>
      </c>
      <c r="Y54"/>
      <c r="Z54"/>
      <c r="AA54"/>
      <c r="AB54"/>
      <c r="AC54"/>
      <c r="AD54"/>
      <c r="AE54"/>
      <c r="AF54"/>
      <c r="AG54"/>
      <c r="AH54"/>
      <c r="AI54"/>
      <c r="AJ54"/>
      <c r="AK54"/>
      <c r="AL54"/>
      <c r="AM54"/>
    </row>
    <row r="55" spans="2:49" ht="17.399999999999999" x14ac:dyDescent="0.45">
      <c r="B55" s="15">
        <v>16</v>
      </c>
      <c r="C55" s="90" t="str">
        <f>IFERROR(VLOOKUP(ROWS($C$39:C54), 'SelloutPlan v1Main'!$D$5:$AC$208,12, FALSE), "")</f>
        <v/>
      </c>
      <c r="D55" s="17" t="str">
        <f>IFERROR(VLOOKUP(ROWS($C$39:D54), 'SelloutPlan v1Main'!$D$5:$AC$208,11, FALSE), "")</f>
        <v/>
      </c>
      <c r="E55" s="17" t="str">
        <f>IFERROR(VLOOKUP(ROWS($C$39:E54), 'SelloutPlan v1Main'!$D$5:$AC$208,9, FALSE), "")</f>
        <v/>
      </c>
      <c r="F55" s="90" t="str">
        <f>IFERROR(VLOOKUP(ROWS($C$39:F54), 'SelloutPlan v1Main'!$D$5:$AC$208,7, FALSE), "")</f>
        <v/>
      </c>
      <c r="G55" s="91" t="str">
        <f>IFERROR(VLOOKUP(ROWS($C$39:G54), 'SelloutPlan v1Main'!$D$5:$AC$208,16, FALSE), "")</f>
        <v/>
      </c>
      <c r="H55" s="123" t="str">
        <f>IFERROR(VLOOKUP(ROWS($C$39:G54), 'SelloutPlan v1Main'!$D$5:$AC$208,17, FALSE), "")</f>
        <v/>
      </c>
      <c r="I55" s="92" t="str">
        <f>IFERROR(VLOOKUP(ROWS($C$39:H54), 'SelloutPlan v1Main'!$D$5:$AC$208,3, FALSE), "")</f>
        <v/>
      </c>
      <c r="J55" s="92" t="str">
        <f>IFERROR(VLOOKUP(ROWS($C$39:I54), 'SelloutPlan v1Main'!$D$5:$AC$208,10, FALSE), "")</f>
        <v/>
      </c>
      <c r="K55" s="92" t="str">
        <f>IFERROR(VLOOKUP(ROWS($C$39:J54), 'SelloutPlan v1Main'!$D$5:$AC$208,14, FALSE), "")</f>
        <v/>
      </c>
      <c r="L55" s="129" t="str">
        <f>IFERROR(VLOOKUP(ROWS($C$39:K54), 'SelloutPlan v1Main'!$D$5:$AC$208,10, FALSE), "")</f>
        <v/>
      </c>
      <c r="O55" s="27" t="str">
        <f>IFERROR(VLOOKUP(ROWS($O$39:U54),'SelloutPlan v1Main'!$E$5:$AC$208,2,FALSE),"")</f>
        <v/>
      </c>
      <c r="P55" s="31" t="str">
        <f>IFERROR(VLOOKUP(ROWS($O$39:U54),'SelloutPlan v1Main'!$E$5:$AC$208,12,FALSE),"")</f>
        <v/>
      </c>
      <c r="Q55" s="82" t="str">
        <f>IFERROR(VLOOKUP(ROWS($O$39:V54),'SelloutPlan v1Main'!$E$5:$AC$208,13,FALSE),"")</f>
        <v/>
      </c>
      <c r="R55" s="28" t="str">
        <f>IFERROR(VLOOKUP(ROWS($O$39:U54),'SelloutPlan v1Main'!$E$5:$AC$208,7,FALSE),"")</f>
        <v/>
      </c>
      <c r="S55" s="40" t="str">
        <f>IFERROR(VLOOKUP(ROWS($O$39:U54),'SelloutPlan v1Main'!$E$5:$AC$208,11,FALSE),"")</f>
        <v/>
      </c>
      <c r="T55" s="27" t="str">
        <f>IFERROR(VLOOKUP(ROWS($O$39:U54),'SelloutPlan v1Main'!$E$5:$AC$208,10,FALSE),"")</f>
        <v/>
      </c>
      <c r="U55" s="83" t="str">
        <f>IFERROR(VLOOKUP(ROWS($O$39:U54),'SelloutPlan v1Main'!$E$5:$AC$208,16,FALSE),"")</f>
        <v/>
      </c>
      <c r="V55" s="28" t="str">
        <f>IFERROR(IF(_xlfn.XLOOKUP(ROWS($O$39:W55), 'SelloutPlan v1Main'!$E$5:$E$208, 'SelloutPlan v1Main'!$X$5:$X$208) = 0, "", _xlfn.XLOOKUP(ROWS($O$39:W55), 'SelloutPlan v1Main'!$E$5:$E$208, 'SelloutPlan v1Main'!$X$5:$X$208)), "")</f>
        <v/>
      </c>
      <c r="W55" s="83" t="str">
        <f>IFERROR(IF(VLOOKUP(ROWS($O$39:X54), 'SelloutPlan v1Main'!$E$5:$AP$209, 25, FALSE) = 0, "", VLOOKUP(ROWS($O$39:X54), 'SelloutPlan v1Main'!$E$5:$AP$209, 24, FALSE)), "")</f>
        <v/>
      </c>
      <c r="Y55"/>
      <c r="Z55"/>
      <c r="AA55"/>
      <c r="AB55"/>
      <c r="AC55"/>
      <c r="AD55"/>
      <c r="AE55"/>
      <c r="AF55"/>
      <c r="AG55"/>
      <c r="AH55"/>
      <c r="AI55"/>
      <c r="AJ55"/>
      <c r="AK55"/>
      <c r="AL55"/>
      <c r="AM55"/>
    </row>
    <row r="56" spans="2:49" ht="17.399999999999999" x14ac:dyDescent="0.45">
      <c r="B56" s="15">
        <v>17</v>
      </c>
      <c r="C56" s="90" t="str">
        <f>IFERROR(VLOOKUP(ROWS($C$39:C55), 'SelloutPlan v1Main'!$D$5:$AC$208,12, FALSE), "")</f>
        <v/>
      </c>
      <c r="D56" s="17" t="str">
        <f>IFERROR(VLOOKUP(ROWS($C$39:D55), 'SelloutPlan v1Main'!$D$5:$AC$208,11, FALSE), "")</f>
        <v/>
      </c>
      <c r="E56" s="17" t="str">
        <f>IFERROR(VLOOKUP(ROWS($C$39:E55), 'SelloutPlan v1Main'!$D$5:$AC$208,9, FALSE), "")</f>
        <v/>
      </c>
      <c r="F56" s="90" t="str">
        <f>IFERROR(VLOOKUP(ROWS($C$39:F55), 'SelloutPlan v1Main'!$D$5:$AC$208,7, FALSE), "")</f>
        <v/>
      </c>
      <c r="G56" s="91" t="str">
        <f>IFERROR(VLOOKUP(ROWS($C$39:G55), 'SelloutPlan v1Main'!$D$5:$AC$208,16, FALSE), "")</f>
        <v/>
      </c>
      <c r="H56" s="123" t="str">
        <f>IFERROR(VLOOKUP(ROWS($C$39:G55), 'SelloutPlan v1Main'!$D$5:$AC$208,17, FALSE), "")</f>
        <v/>
      </c>
      <c r="I56" s="92" t="str">
        <f>IFERROR(VLOOKUP(ROWS($C$39:H55), 'SelloutPlan v1Main'!$D$5:$AC$208,3, FALSE), "")</f>
        <v/>
      </c>
      <c r="J56" s="92" t="str">
        <f>IFERROR(VLOOKUP(ROWS($C$39:I55), 'SelloutPlan v1Main'!$D$5:$AC$208,10, FALSE), "")</f>
        <v/>
      </c>
      <c r="K56" s="92" t="str">
        <f>IFERROR(VLOOKUP(ROWS($C$39:J55), 'SelloutPlan v1Main'!$D$5:$AC$208,14, FALSE), "")</f>
        <v/>
      </c>
      <c r="L56" s="129" t="str">
        <f>IFERROR(VLOOKUP(ROWS($C$39:K55), 'SelloutPlan v1Main'!$D$5:$AC$208,10, FALSE), "")</f>
        <v/>
      </c>
      <c r="O56" s="27" t="str">
        <f>IFERROR(VLOOKUP(ROWS($O$39:U55),'SelloutPlan v1Main'!$E$5:$AC$208,2,FALSE),"")</f>
        <v/>
      </c>
      <c r="P56" s="31" t="str">
        <f>IFERROR(VLOOKUP(ROWS($O$39:U55),'SelloutPlan v1Main'!$E$5:$AC$208,12,FALSE),"")</f>
        <v/>
      </c>
      <c r="Q56" s="82" t="str">
        <f>IFERROR(VLOOKUP(ROWS($O$39:V55),'SelloutPlan v1Main'!$E$5:$AC$208,13,FALSE),"")</f>
        <v/>
      </c>
      <c r="R56" s="28" t="str">
        <f>IFERROR(VLOOKUP(ROWS($O$39:U55),'SelloutPlan v1Main'!$E$5:$AC$208,7,FALSE),"")</f>
        <v/>
      </c>
      <c r="S56" s="40" t="str">
        <f>IFERROR(VLOOKUP(ROWS($O$39:U55),'SelloutPlan v1Main'!$E$5:$AC$208,11,FALSE),"")</f>
        <v/>
      </c>
      <c r="T56" s="27" t="str">
        <f>IFERROR(VLOOKUP(ROWS($O$39:U55),'SelloutPlan v1Main'!$E$5:$AC$208,10,FALSE),"")</f>
        <v/>
      </c>
      <c r="U56" s="83" t="str">
        <f>IFERROR(VLOOKUP(ROWS($O$39:U55),'SelloutPlan v1Main'!$E$5:$AC$208,16,FALSE),"")</f>
        <v/>
      </c>
      <c r="V56" s="28" t="str">
        <f>IFERROR(IF(_xlfn.XLOOKUP(ROWS($O$39:W56), 'SelloutPlan v1Main'!$E$5:$E$208, 'SelloutPlan v1Main'!$X$5:$X$208) = 0, "", _xlfn.XLOOKUP(ROWS($O$39:W56), 'SelloutPlan v1Main'!$E$5:$E$208, 'SelloutPlan v1Main'!$X$5:$X$208)), "")</f>
        <v/>
      </c>
      <c r="W56" s="83" t="str">
        <f>IFERROR(IF(VLOOKUP(ROWS($O$39:X55), 'SelloutPlan v1Main'!$E$5:$AP$209, 25, FALSE) = 0, "", VLOOKUP(ROWS($O$39:X55), 'SelloutPlan v1Main'!$E$5:$AP$209, 24, FALSE)), "")</f>
        <v/>
      </c>
      <c r="Y56"/>
      <c r="Z56"/>
      <c r="AA56"/>
      <c r="AB56"/>
      <c r="AC56"/>
      <c r="AD56"/>
      <c r="AE56"/>
      <c r="AF56"/>
      <c r="AG56"/>
      <c r="AH56"/>
      <c r="AI56"/>
      <c r="AJ56"/>
      <c r="AK56"/>
      <c r="AL56"/>
      <c r="AM56"/>
    </row>
    <row r="57" spans="2:49" ht="17.399999999999999" x14ac:dyDescent="0.45">
      <c r="B57" s="15">
        <v>18</v>
      </c>
      <c r="C57" s="90" t="str">
        <f>IFERROR(VLOOKUP(ROWS($C$39:C56), 'SelloutPlan v1Main'!$D$5:$AC$208,12, FALSE), "")</f>
        <v/>
      </c>
      <c r="D57" s="17" t="str">
        <f>IFERROR(VLOOKUP(ROWS($C$39:D56), 'SelloutPlan v1Main'!$D$5:$AC$208,11, FALSE), "")</f>
        <v/>
      </c>
      <c r="E57" s="17" t="str">
        <f>IFERROR(VLOOKUP(ROWS($C$39:E56), 'SelloutPlan v1Main'!$D$5:$AC$208,9, FALSE), "")</f>
        <v/>
      </c>
      <c r="F57" s="90" t="str">
        <f>IFERROR(VLOOKUP(ROWS($C$39:F56), 'SelloutPlan v1Main'!$D$5:$AC$208,7, FALSE), "")</f>
        <v/>
      </c>
      <c r="G57" s="91" t="str">
        <f>IFERROR(VLOOKUP(ROWS($C$39:G56), 'SelloutPlan v1Main'!$D$5:$AC$208,16, FALSE), "")</f>
        <v/>
      </c>
      <c r="H57" s="123" t="str">
        <f>IFERROR(VLOOKUP(ROWS($C$39:G56), 'SelloutPlan v1Main'!$D$5:$AC$208,17, FALSE), "")</f>
        <v/>
      </c>
      <c r="I57" s="92" t="str">
        <f>IFERROR(VLOOKUP(ROWS($C$39:H56), 'SelloutPlan v1Main'!$D$5:$AC$208,3, FALSE), "")</f>
        <v/>
      </c>
      <c r="J57" s="92" t="str">
        <f>IFERROR(VLOOKUP(ROWS($C$39:I56), 'SelloutPlan v1Main'!$D$5:$AC$208,10, FALSE), "")</f>
        <v/>
      </c>
      <c r="K57" s="92" t="str">
        <f>IFERROR(VLOOKUP(ROWS($C$39:J56), 'SelloutPlan v1Main'!$D$5:$AC$208,14, FALSE), "")</f>
        <v/>
      </c>
      <c r="L57" s="129" t="str">
        <f>IFERROR(VLOOKUP(ROWS($C$39:K56), 'SelloutPlan v1Main'!$D$5:$AC$208,10, FALSE), "")</f>
        <v/>
      </c>
      <c r="O57" s="27" t="str">
        <f>IFERROR(VLOOKUP(ROWS($O$39:U56),'SelloutPlan v1Main'!$E$5:$AC$208,2,FALSE),"")</f>
        <v/>
      </c>
      <c r="P57" s="31" t="str">
        <f>IFERROR(VLOOKUP(ROWS($O$39:U56),'SelloutPlan v1Main'!$E$5:$AC$208,12,FALSE),"")</f>
        <v/>
      </c>
      <c r="Q57" s="82" t="str">
        <f>IFERROR(VLOOKUP(ROWS($O$39:V56),'SelloutPlan v1Main'!$E$5:$AC$208,13,FALSE),"")</f>
        <v/>
      </c>
      <c r="R57" s="28" t="str">
        <f>IFERROR(VLOOKUP(ROWS($O$39:U56),'SelloutPlan v1Main'!$E$5:$AC$208,7,FALSE),"")</f>
        <v/>
      </c>
      <c r="S57" s="40" t="str">
        <f>IFERROR(VLOOKUP(ROWS($O$39:U56),'SelloutPlan v1Main'!$E$5:$AC$208,11,FALSE),"")</f>
        <v/>
      </c>
      <c r="T57" s="27" t="str">
        <f>IFERROR(VLOOKUP(ROWS($O$39:U56),'SelloutPlan v1Main'!$E$5:$AC$208,10,FALSE),"")</f>
        <v/>
      </c>
      <c r="U57" s="83" t="str">
        <f>IFERROR(VLOOKUP(ROWS($O$39:U56),'SelloutPlan v1Main'!$E$5:$AC$208,16,FALSE),"")</f>
        <v/>
      </c>
      <c r="V57" s="28" t="str">
        <f>IFERROR(IF(_xlfn.XLOOKUP(ROWS($O$39:W57), 'SelloutPlan v1Main'!$E$5:$E$208, 'SelloutPlan v1Main'!$X$5:$X$208) = 0, "", _xlfn.XLOOKUP(ROWS($O$39:W57), 'SelloutPlan v1Main'!$E$5:$E$208, 'SelloutPlan v1Main'!$X$5:$X$208)), "")</f>
        <v/>
      </c>
      <c r="W57" s="83" t="str">
        <f>IFERROR(IF(VLOOKUP(ROWS($O$39:X56), 'SelloutPlan v1Main'!$E$5:$AP$209, 25, FALSE) = 0, "", VLOOKUP(ROWS($O$39:X56), 'SelloutPlan v1Main'!$E$5:$AP$209, 24, FALSE)), "")</f>
        <v/>
      </c>
      <c r="Y57"/>
      <c r="Z57"/>
      <c r="AA57"/>
      <c r="AB57"/>
      <c r="AC57"/>
      <c r="AD57"/>
      <c r="AE57"/>
      <c r="AF57"/>
      <c r="AG57"/>
      <c r="AH57"/>
      <c r="AI57"/>
      <c r="AJ57"/>
      <c r="AK57"/>
      <c r="AL57"/>
      <c r="AM57"/>
    </row>
    <row r="58" spans="2:49" ht="17.399999999999999" x14ac:dyDescent="0.45">
      <c r="B58" s="15">
        <v>19</v>
      </c>
      <c r="C58" s="90" t="str">
        <f>IFERROR(VLOOKUP(ROWS($C$39:C57), 'SelloutPlan v1Main'!$D$5:$AC$208,12, FALSE), "")</f>
        <v/>
      </c>
      <c r="D58" s="17" t="str">
        <f>IFERROR(VLOOKUP(ROWS($C$39:D57), 'SelloutPlan v1Main'!$D$5:$AC$208,11, FALSE), "")</f>
        <v/>
      </c>
      <c r="E58" s="17" t="str">
        <f>IFERROR(VLOOKUP(ROWS($C$39:E57), 'SelloutPlan v1Main'!$D$5:$AC$208,9, FALSE), "")</f>
        <v/>
      </c>
      <c r="F58" s="90" t="str">
        <f>IFERROR(VLOOKUP(ROWS($C$39:F57), 'SelloutPlan v1Main'!$D$5:$AC$208,7, FALSE), "")</f>
        <v/>
      </c>
      <c r="G58" s="91" t="str">
        <f>IFERROR(VLOOKUP(ROWS($C$39:G57), 'SelloutPlan v1Main'!$D$5:$AC$208,16, FALSE), "")</f>
        <v/>
      </c>
      <c r="H58" s="123" t="str">
        <f>IFERROR(VLOOKUP(ROWS($C$39:G57), 'SelloutPlan v1Main'!$D$5:$AC$208,17, FALSE), "")</f>
        <v/>
      </c>
      <c r="I58" s="92" t="str">
        <f>IFERROR(VLOOKUP(ROWS($C$39:H57), 'SelloutPlan v1Main'!$D$5:$AC$208,3, FALSE), "")</f>
        <v/>
      </c>
      <c r="J58" s="92" t="str">
        <f>IFERROR(VLOOKUP(ROWS($C$39:I57), 'SelloutPlan v1Main'!$D$5:$AC$208,10, FALSE), "")</f>
        <v/>
      </c>
      <c r="K58" s="92" t="str">
        <f>IFERROR(VLOOKUP(ROWS($C$39:J57), 'SelloutPlan v1Main'!$D$5:$AC$208,14, FALSE), "")</f>
        <v/>
      </c>
      <c r="L58" s="129" t="str">
        <f>IFERROR(VLOOKUP(ROWS($C$39:K57), 'SelloutPlan v1Main'!$D$5:$AC$208,10, FALSE), "")</f>
        <v/>
      </c>
      <c r="O58" s="27" t="str">
        <f>IFERROR(VLOOKUP(ROWS($O$39:U57),'SelloutPlan v1Main'!$E$5:$AC$208,2,FALSE),"")</f>
        <v/>
      </c>
      <c r="P58" s="31" t="str">
        <f>IFERROR(VLOOKUP(ROWS($O$39:U57),'SelloutPlan v1Main'!$E$5:$AC$208,12,FALSE),"")</f>
        <v/>
      </c>
      <c r="Q58" s="82" t="str">
        <f>IFERROR(VLOOKUP(ROWS($O$39:V57),'SelloutPlan v1Main'!$E$5:$AC$208,13,FALSE),"")</f>
        <v/>
      </c>
      <c r="R58" s="28" t="str">
        <f>IFERROR(VLOOKUP(ROWS($O$39:U57),'SelloutPlan v1Main'!$E$5:$AC$208,7,FALSE),"")</f>
        <v/>
      </c>
      <c r="S58" s="40" t="str">
        <f>IFERROR(VLOOKUP(ROWS($O$39:U57),'SelloutPlan v1Main'!$E$5:$AC$208,11,FALSE),"")</f>
        <v/>
      </c>
      <c r="T58" s="27" t="str">
        <f>IFERROR(VLOOKUP(ROWS($O$39:U57),'SelloutPlan v1Main'!$E$5:$AC$208,10,FALSE),"")</f>
        <v/>
      </c>
      <c r="U58" s="83" t="str">
        <f>IFERROR(VLOOKUP(ROWS($O$39:U57),'SelloutPlan v1Main'!$E$5:$AC$208,16,FALSE),"")</f>
        <v/>
      </c>
      <c r="V58" s="28" t="str">
        <f>IFERROR(IF(_xlfn.XLOOKUP(ROWS($O$39:W58), 'SelloutPlan v1Main'!$E$5:$E$208, 'SelloutPlan v1Main'!$X$5:$X$208) = 0, "", _xlfn.XLOOKUP(ROWS($O$39:W58), 'SelloutPlan v1Main'!$E$5:$E$208, 'SelloutPlan v1Main'!$X$5:$X$208)), "")</f>
        <v/>
      </c>
      <c r="W58" s="83" t="str">
        <f>IFERROR(IF(VLOOKUP(ROWS($O$39:X57), 'SelloutPlan v1Main'!$E$5:$AP$209, 25, FALSE) = 0, "", VLOOKUP(ROWS($O$39:X57), 'SelloutPlan v1Main'!$E$5:$AP$209, 24, FALSE)), "")</f>
        <v/>
      </c>
      <c r="Y58"/>
      <c r="Z58"/>
      <c r="AA58"/>
      <c r="AB58"/>
      <c r="AC58"/>
      <c r="AD58"/>
      <c r="AE58"/>
      <c r="AF58"/>
      <c r="AG58"/>
      <c r="AH58"/>
      <c r="AI58"/>
      <c r="AJ58"/>
      <c r="AK58"/>
      <c r="AL58"/>
      <c r="AM58"/>
    </row>
    <row r="59" spans="2:49" ht="17.399999999999999" x14ac:dyDescent="0.45">
      <c r="B59" s="15">
        <v>20</v>
      </c>
      <c r="C59" s="90" t="str">
        <f>IFERROR(VLOOKUP(ROWS($C$39:C58), 'SelloutPlan v1Main'!$D$5:$AC$208,12, FALSE), "")</f>
        <v/>
      </c>
      <c r="D59" s="17" t="str">
        <f>IFERROR(VLOOKUP(ROWS($C$39:D58), 'SelloutPlan v1Main'!$D$5:$AC$208,11, FALSE), "")</f>
        <v/>
      </c>
      <c r="E59" s="17" t="str">
        <f>IFERROR(VLOOKUP(ROWS($C$39:E58), 'SelloutPlan v1Main'!$D$5:$AC$208,9, FALSE), "")</f>
        <v/>
      </c>
      <c r="F59" s="90" t="str">
        <f>IFERROR(VLOOKUP(ROWS($C$39:F58), 'SelloutPlan v1Main'!$D$5:$AC$208,7, FALSE), "")</f>
        <v/>
      </c>
      <c r="G59" s="91" t="str">
        <f>IFERROR(VLOOKUP(ROWS($C$39:G58), 'SelloutPlan v1Main'!$D$5:$AC$208,16, FALSE), "")</f>
        <v/>
      </c>
      <c r="H59" s="123" t="str">
        <f>IFERROR(VLOOKUP(ROWS($C$39:G58), 'SelloutPlan v1Main'!$D$5:$AC$208,17, FALSE), "")</f>
        <v/>
      </c>
      <c r="I59" s="92" t="str">
        <f>IFERROR(VLOOKUP(ROWS($C$39:H58), 'SelloutPlan v1Main'!$D$5:$AC$208,3, FALSE), "")</f>
        <v/>
      </c>
      <c r="J59" s="92" t="str">
        <f>IFERROR(VLOOKUP(ROWS($C$39:I58), 'SelloutPlan v1Main'!$D$5:$AC$208,10, FALSE), "")</f>
        <v/>
      </c>
      <c r="K59" s="92" t="str">
        <f>IFERROR(VLOOKUP(ROWS($C$39:J58), 'SelloutPlan v1Main'!$D$5:$AC$208,14, FALSE), "")</f>
        <v/>
      </c>
      <c r="L59" s="129" t="str">
        <f>IFERROR(VLOOKUP(ROWS($C$39:K58), 'SelloutPlan v1Main'!$D$5:$AC$208,10, FALSE), "")</f>
        <v/>
      </c>
      <c r="O59" s="27" t="str">
        <f>IFERROR(VLOOKUP(ROWS($O$39:U58),'SelloutPlan v1Main'!$E$5:$AC$208,2,FALSE),"")</f>
        <v/>
      </c>
      <c r="P59" s="31" t="str">
        <f>IFERROR(VLOOKUP(ROWS($O$39:U58),'SelloutPlan v1Main'!$E$5:$AC$208,12,FALSE),"")</f>
        <v/>
      </c>
      <c r="Q59" s="82" t="str">
        <f>IFERROR(VLOOKUP(ROWS($O$39:V58),'SelloutPlan v1Main'!$E$5:$AC$208,13,FALSE),"")</f>
        <v/>
      </c>
      <c r="R59" s="28" t="str">
        <f>IFERROR(VLOOKUP(ROWS($O$39:U58),'SelloutPlan v1Main'!$E$5:$AC$208,7,FALSE),"")</f>
        <v/>
      </c>
      <c r="S59" s="40" t="str">
        <f>IFERROR(VLOOKUP(ROWS($O$39:U58),'SelloutPlan v1Main'!$E$5:$AC$208,11,FALSE),"")</f>
        <v/>
      </c>
      <c r="T59" s="27" t="str">
        <f>IFERROR(VLOOKUP(ROWS($O$39:U58),'SelloutPlan v1Main'!$E$5:$AC$208,10,FALSE),"")</f>
        <v/>
      </c>
      <c r="U59" s="83" t="str">
        <f>IFERROR(VLOOKUP(ROWS($O$39:U58),'SelloutPlan v1Main'!$E$5:$AC$208,16,FALSE),"")</f>
        <v/>
      </c>
      <c r="V59" s="28" t="str">
        <f>IFERROR(IF(_xlfn.XLOOKUP(ROWS($O$39:W59), 'SelloutPlan v1Main'!$E$5:$E$208, 'SelloutPlan v1Main'!$X$5:$X$208) = 0, "", _xlfn.XLOOKUP(ROWS($O$39:W59), 'SelloutPlan v1Main'!$E$5:$E$208, 'SelloutPlan v1Main'!$X$5:$X$208)), "")</f>
        <v/>
      </c>
      <c r="W59" s="83" t="str">
        <f>IFERROR(IF(VLOOKUP(ROWS($O$39:X58), 'SelloutPlan v1Main'!$E$5:$AP$209, 25, FALSE) = 0, "", VLOOKUP(ROWS($O$39:X58), 'SelloutPlan v1Main'!$E$5:$AP$209, 24, FALSE)), "")</f>
        <v/>
      </c>
      <c r="Z59"/>
      <c r="AA59"/>
      <c r="AB59"/>
      <c r="AC59"/>
      <c r="AF59"/>
      <c r="AG59"/>
      <c r="AH59"/>
      <c r="AI59"/>
      <c r="AJ59"/>
      <c r="AK59"/>
      <c r="AL59"/>
      <c r="AM59"/>
    </row>
    <row r="60" spans="2:49" ht="25.5" customHeight="1" x14ac:dyDescent="0.45">
      <c r="B60" s="15">
        <v>21</v>
      </c>
      <c r="C60" s="90" t="str">
        <f>IFERROR(VLOOKUP(ROWS($C$39:C59), 'SelloutPlan v1Main'!$D$5:$AC$208,12, FALSE), "")</f>
        <v/>
      </c>
      <c r="D60" s="17" t="str">
        <f>IFERROR(VLOOKUP(ROWS($C$39:D59), 'SelloutPlan v1Main'!$D$5:$AC$208,11, FALSE), "")</f>
        <v/>
      </c>
      <c r="E60" s="17" t="str">
        <f>IFERROR(VLOOKUP(ROWS($C$39:E59), 'SelloutPlan v1Main'!$D$5:$AC$208,9, FALSE), "")</f>
        <v/>
      </c>
      <c r="F60" s="90" t="str">
        <f>IFERROR(VLOOKUP(ROWS($C$39:F59), 'SelloutPlan v1Main'!$D$5:$AC$208,7, FALSE), "")</f>
        <v/>
      </c>
      <c r="G60" s="91" t="str">
        <f>IFERROR(VLOOKUP(ROWS($C$39:G59), 'SelloutPlan v1Main'!$D$5:$AC$208,16, FALSE), "")</f>
        <v/>
      </c>
      <c r="H60" s="123" t="str">
        <f>IFERROR(VLOOKUP(ROWS($C$39:G59), 'SelloutPlan v1Main'!$D$5:$AC$208,17, FALSE), "")</f>
        <v/>
      </c>
      <c r="I60" s="92" t="str">
        <f>IFERROR(VLOOKUP(ROWS($C$39:H59), 'SelloutPlan v1Main'!$D$5:$AC$208,3, FALSE), "")</f>
        <v/>
      </c>
      <c r="J60" s="92" t="str">
        <f>IFERROR(VLOOKUP(ROWS($C$39:I59), 'SelloutPlan v1Main'!$D$5:$AC$208,10, FALSE), "")</f>
        <v/>
      </c>
      <c r="K60" s="92" t="str">
        <f>IFERROR(VLOOKUP(ROWS($C$39:J59), 'SelloutPlan v1Main'!$D$5:$AC$208,14, FALSE), "")</f>
        <v/>
      </c>
      <c r="L60" s="129" t="str">
        <f>IFERROR(VLOOKUP(ROWS($C$39:K59), 'SelloutPlan v1Main'!$D$5:$AC$208,10, FALSE), "")</f>
        <v/>
      </c>
      <c r="O60" s="27" t="str">
        <f>IFERROR(VLOOKUP(ROWS($O$39:U59),'SelloutPlan v1Main'!$E$5:$AC$208,2,FALSE),"")</f>
        <v/>
      </c>
      <c r="P60" s="31" t="str">
        <f>IFERROR(VLOOKUP(ROWS($O$39:U59),'SelloutPlan v1Main'!$E$5:$AC$208,12,FALSE),"")</f>
        <v/>
      </c>
      <c r="Q60" s="82" t="str">
        <f>IFERROR(VLOOKUP(ROWS($O$39:V59),'SelloutPlan v1Main'!$E$5:$AC$208,13,FALSE),"")</f>
        <v/>
      </c>
      <c r="R60" s="28" t="str">
        <f>IFERROR(VLOOKUP(ROWS($O$39:U59),'SelloutPlan v1Main'!$E$5:$AC$208,7,FALSE),"")</f>
        <v/>
      </c>
      <c r="S60" s="40" t="str">
        <f>IFERROR(VLOOKUP(ROWS($O$39:U59),'SelloutPlan v1Main'!$E$5:$AC$208,11,FALSE),"")</f>
        <v/>
      </c>
      <c r="T60" s="27" t="str">
        <f>IFERROR(VLOOKUP(ROWS($O$39:U59),'SelloutPlan v1Main'!$E$5:$AC$208,10,FALSE),"")</f>
        <v/>
      </c>
      <c r="U60" s="83" t="str">
        <f>IFERROR(VLOOKUP(ROWS($O$39:U59),'SelloutPlan v1Main'!$E$5:$AC$208,16,FALSE),"")</f>
        <v/>
      </c>
      <c r="V60" s="28" t="str">
        <f>IFERROR(IF(_xlfn.XLOOKUP(ROWS($O$39:W60), 'SelloutPlan v1Main'!$E$5:$E$208, 'SelloutPlan v1Main'!$X$5:$X$208) = 0, "", _xlfn.XLOOKUP(ROWS($O$39:W60), 'SelloutPlan v1Main'!$E$5:$E$208, 'SelloutPlan v1Main'!$X$5:$X$208)), "")</f>
        <v/>
      </c>
      <c r="W60" s="83" t="str">
        <f>IFERROR(IF(VLOOKUP(ROWS($O$39:X59), 'SelloutPlan v1Main'!$E$5:$AP$209, 25, FALSE) = 0, "", VLOOKUP(ROWS($O$39:X59), 'SelloutPlan v1Main'!$E$5:$AP$209, 24, FALSE)), "")</f>
        <v/>
      </c>
      <c r="Z60"/>
      <c r="AA60"/>
      <c r="AB60"/>
      <c r="AC60"/>
      <c r="AD60"/>
      <c r="AE60"/>
      <c r="AF60"/>
      <c r="AG60"/>
      <c r="AH60"/>
      <c r="AI60"/>
      <c r="AJ60"/>
      <c r="AK60"/>
      <c r="AL60"/>
      <c r="AM60"/>
      <c r="AN60"/>
      <c r="AO60"/>
      <c r="AP60"/>
      <c r="AQ60"/>
      <c r="AR60"/>
      <c r="AS60"/>
      <c r="AT60"/>
      <c r="AU60"/>
      <c r="AV60"/>
      <c r="AW60"/>
    </row>
    <row r="61" spans="2:49" ht="17.399999999999999" x14ac:dyDescent="0.45">
      <c r="B61" s="15">
        <v>22</v>
      </c>
      <c r="C61" s="90" t="str">
        <f>IFERROR(VLOOKUP(ROWS($C$39:C60), 'SelloutPlan v1Main'!$D$5:$AC$208,12, FALSE), "")</f>
        <v/>
      </c>
      <c r="D61" s="17" t="str">
        <f>IFERROR(VLOOKUP(ROWS($C$39:D60), 'SelloutPlan v1Main'!$D$5:$AC$208,11, FALSE), "")</f>
        <v/>
      </c>
      <c r="E61" s="17" t="str">
        <f>IFERROR(VLOOKUP(ROWS($C$39:E60), 'SelloutPlan v1Main'!$D$5:$AC$208,9, FALSE), "")</f>
        <v/>
      </c>
      <c r="F61" s="90" t="str">
        <f>IFERROR(VLOOKUP(ROWS($C$39:F60), 'SelloutPlan v1Main'!$D$5:$AC$208,7, FALSE), "")</f>
        <v/>
      </c>
      <c r="G61" s="91" t="str">
        <f>IFERROR(VLOOKUP(ROWS($C$39:G60), 'SelloutPlan v1Main'!$D$5:$AC$208,16, FALSE), "")</f>
        <v/>
      </c>
      <c r="H61" s="123" t="str">
        <f>IFERROR(VLOOKUP(ROWS($C$39:G60), 'SelloutPlan v1Main'!$D$5:$AC$208,17, FALSE), "")</f>
        <v/>
      </c>
      <c r="I61" s="92" t="str">
        <f>IFERROR(VLOOKUP(ROWS($C$39:H60), 'SelloutPlan v1Main'!$D$5:$AC$208,3, FALSE), "")</f>
        <v/>
      </c>
      <c r="J61" s="92" t="str">
        <f>IFERROR(VLOOKUP(ROWS($C$39:I60), 'SelloutPlan v1Main'!$D$5:$AC$208,10, FALSE), "")</f>
        <v/>
      </c>
      <c r="K61" s="92" t="str">
        <f>IFERROR(VLOOKUP(ROWS($C$39:J60), 'SelloutPlan v1Main'!$D$5:$AC$208,14, FALSE), "")</f>
        <v/>
      </c>
      <c r="L61" s="129" t="str">
        <f>IFERROR(VLOOKUP(ROWS($C$39:K60), 'SelloutPlan v1Main'!$D$5:$AC$208,10, FALSE), "")</f>
        <v/>
      </c>
      <c r="O61" s="27" t="str">
        <f>IFERROR(VLOOKUP(ROWS($O$39:U60),'SelloutPlan v1Main'!$E$5:$AC$208,2,FALSE),"")</f>
        <v/>
      </c>
      <c r="P61" s="31" t="str">
        <f>IFERROR(VLOOKUP(ROWS($O$39:U60),'SelloutPlan v1Main'!$E$5:$AC$208,12,FALSE),"")</f>
        <v/>
      </c>
      <c r="Q61" s="82" t="str">
        <f>IFERROR(VLOOKUP(ROWS($O$39:V60),'SelloutPlan v1Main'!$E$5:$AC$208,13,FALSE),"")</f>
        <v/>
      </c>
      <c r="R61" s="28" t="str">
        <f>IFERROR(VLOOKUP(ROWS($O$39:U60),'SelloutPlan v1Main'!$E$5:$AC$208,7,FALSE),"")</f>
        <v/>
      </c>
      <c r="S61" s="40" t="str">
        <f>IFERROR(VLOOKUP(ROWS($O$39:U60),'SelloutPlan v1Main'!$E$5:$AC$208,11,FALSE),"")</f>
        <v/>
      </c>
      <c r="T61" s="27" t="str">
        <f>IFERROR(VLOOKUP(ROWS($O$39:U60),'SelloutPlan v1Main'!$E$5:$AC$208,10,FALSE),"")</f>
        <v/>
      </c>
      <c r="U61" s="83" t="str">
        <f>IFERROR(VLOOKUP(ROWS($O$39:U60),'SelloutPlan v1Main'!$E$5:$AC$208,16,FALSE),"")</f>
        <v/>
      </c>
      <c r="V61" s="28" t="str">
        <f>IFERROR(IF(_xlfn.XLOOKUP(ROWS($O$39:W61), 'SelloutPlan v1Main'!$E$5:$E$208, 'SelloutPlan v1Main'!$X$5:$X$208) = 0, "", _xlfn.XLOOKUP(ROWS($O$39:W61), 'SelloutPlan v1Main'!$E$5:$E$208, 'SelloutPlan v1Main'!$X$5:$X$208)), "")</f>
        <v/>
      </c>
      <c r="W61" s="83" t="str">
        <f>IFERROR(IF(VLOOKUP(ROWS($O$39:X60), 'SelloutPlan v1Main'!$E$5:$AP$209, 25, FALSE) = 0, "", VLOOKUP(ROWS($O$39:X60), 'SelloutPlan v1Main'!$E$5:$AP$209, 24, FALSE)), "")</f>
        <v/>
      </c>
      <c r="Z61"/>
      <c r="AA61"/>
      <c r="AB61"/>
      <c r="AC61"/>
      <c r="AD61"/>
      <c r="AE61"/>
      <c r="AF61"/>
      <c r="AG61"/>
      <c r="AH61"/>
      <c r="AI61"/>
      <c r="AJ61"/>
      <c r="AK61"/>
      <c r="AL61"/>
      <c r="AM61"/>
      <c r="AN61"/>
      <c r="AO61"/>
      <c r="AP61"/>
      <c r="AQ61"/>
      <c r="AR61"/>
      <c r="AS61"/>
      <c r="AT61"/>
      <c r="AU61"/>
      <c r="AV61"/>
      <c r="AW61"/>
    </row>
    <row r="62" spans="2:49" ht="17.399999999999999" x14ac:dyDescent="0.45">
      <c r="B62" s="15">
        <v>23</v>
      </c>
      <c r="C62" s="90" t="str">
        <f>IFERROR(VLOOKUP(ROWS($C$39:C61), 'SelloutPlan v1Main'!$D$5:$AC$208,12, FALSE), "")</f>
        <v/>
      </c>
      <c r="D62" s="17" t="str">
        <f>IFERROR(VLOOKUP(ROWS($C$39:D61), 'SelloutPlan v1Main'!$D$5:$AC$208,11, FALSE), "")</f>
        <v/>
      </c>
      <c r="E62" s="17" t="str">
        <f>IFERROR(VLOOKUP(ROWS($C$39:E61), 'SelloutPlan v1Main'!$D$5:$AC$208,9, FALSE), "")</f>
        <v/>
      </c>
      <c r="F62" s="90" t="str">
        <f>IFERROR(VLOOKUP(ROWS($C$39:F61), 'SelloutPlan v1Main'!$D$5:$AC$208,7, FALSE), "")</f>
        <v/>
      </c>
      <c r="G62" s="91" t="str">
        <f>IFERROR(VLOOKUP(ROWS($C$39:G61), 'SelloutPlan v1Main'!$D$5:$AC$208,16, FALSE), "")</f>
        <v/>
      </c>
      <c r="H62" s="123" t="str">
        <f>IFERROR(VLOOKUP(ROWS($C$39:G61), 'SelloutPlan v1Main'!$D$5:$AC$208,17, FALSE), "")</f>
        <v/>
      </c>
      <c r="I62" s="92" t="str">
        <f>IFERROR(VLOOKUP(ROWS($C$39:H61), 'SelloutPlan v1Main'!$D$5:$AC$208,3, FALSE), "")</f>
        <v/>
      </c>
      <c r="J62" s="92" t="str">
        <f>IFERROR(VLOOKUP(ROWS($C$39:I61), 'SelloutPlan v1Main'!$D$5:$AC$208,10, FALSE), "")</f>
        <v/>
      </c>
      <c r="K62" s="92" t="str">
        <f>IFERROR(VLOOKUP(ROWS($C$39:J61), 'SelloutPlan v1Main'!$D$5:$AC$208,14, FALSE), "")</f>
        <v/>
      </c>
      <c r="L62" s="129" t="str">
        <f>IFERROR(VLOOKUP(ROWS($C$39:K61), 'SelloutPlan v1Main'!$D$5:$AC$208,10, FALSE), "")</f>
        <v/>
      </c>
      <c r="O62" s="27" t="str">
        <f>IFERROR(VLOOKUP(ROWS($O$39:U61),'SelloutPlan v1Main'!$E$5:$AC$208,2,FALSE),"")</f>
        <v/>
      </c>
      <c r="P62" s="31" t="str">
        <f>IFERROR(VLOOKUP(ROWS($O$39:U61),'SelloutPlan v1Main'!$E$5:$AC$208,12,FALSE),"")</f>
        <v/>
      </c>
      <c r="Q62" s="82" t="str">
        <f>IFERROR(VLOOKUP(ROWS($O$39:V61),'SelloutPlan v1Main'!$E$5:$AC$208,13,FALSE),"")</f>
        <v/>
      </c>
      <c r="R62" s="28" t="str">
        <f>IFERROR(VLOOKUP(ROWS($O$39:U61),'SelloutPlan v1Main'!$E$5:$AC$208,7,FALSE),"")</f>
        <v/>
      </c>
      <c r="S62" s="40" t="str">
        <f>IFERROR(VLOOKUP(ROWS($O$39:U61),'SelloutPlan v1Main'!$E$5:$AC$208,11,FALSE),"")</f>
        <v/>
      </c>
      <c r="T62" s="27" t="str">
        <f>IFERROR(VLOOKUP(ROWS($O$39:U61),'SelloutPlan v1Main'!$E$5:$AC$208,10,FALSE),"")</f>
        <v/>
      </c>
      <c r="U62" s="83" t="str">
        <f>IFERROR(VLOOKUP(ROWS($O$39:U61),'SelloutPlan v1Main'!$E$5:$AC$208,16,FALSE),"")</f>
        <v/>
      </c>
      <c r="V62" s="28" t="str">
        <f>IFERROR(IF(_xlfn.XLOOKUP(ROWS($O$39:W62), 'SelloutPlan v1Main'!$E$5:$E$208, 'SelloutPlan v1Main'!$X$5:$X$208) = 0, "", _xlfn.XLOOKUP(ROWS($O$39:W62), 'SelloutPlan v1Main'!$E$5:$E$208, 'SelloutPlan v1Main'!$X$5:$X$208)), "")</f>
        <v/>
      </c>
      <c r="W62" s="83" t="str">
        <f>IFERROR(IF(VLOOKUP(ROWS($O$39:X61), 'SelloutPlan v1Main'!$E$5:$AP$209, 25, FALSE) = 0, "", VLOOKUP(ROWS($O$39:X61), 'SelloutPlan v1Main'!$E$5:$AP$209, 24, FALSE)), "")</f>
        <v/>
      </c>
      <c r="Z62"/>
      <c r="AA62"/>
      <c r="AB62"/>
      <c r="AC62"/>
      <c r="AD62"/>
      <c r="AE62"/>
      <c r="AF62"/>
      <c r="AG62"/>
      <c r="AH62"/>
      <c r="AI62"/>
      <c r="AJ62"/>
      <c r="AK62"/>
      <c r="AL62"/>
      <c r="AM62"/>
      <c r="AN62"/>
      <c r="AO62"/>
      <c r="AP62"/>
      <c r="AQ62"/>
      <c r="AR62"/>
      <c r="AS62"/>
      <c r="AT62"/>
      <c r="AU62"/>
      <c r="AV62"/>
      <c r="AW62"/>
    </row>
    <row r="63" spans="2:49" ht="17.399999999999999" x14ac:dyDescent="0.45">
      <c r="B63" s="15">
        <v>24</v>
      </c>
      <c r="C63" s="90" t="str">
        <f>IFERROR(VLOOKUP(ROWS($C$39:C62), 'SelloutPlan v1Main'!$D$5:$AC$208,12, FALSE), "")</f>
        <v/>
      </c>
      <c r="D63" s="17" t="str">
        <f>IFERROR(VLOOKUP(ROWS($C$39:D62), 'SelloutPlan v1Main'!$D$5:$AC$208,11, FALSE), "")</f>
        <v/>
      </c>
      <c r="E63" s="17" t="str">
        <f>IFERROR(VLOOKUP(ROWS($C$39:E62), 'SelloutPlan v1Main'!$D$5:$AC$208,9, FALSE), "")</f>
        <v/>
      </c>
      <c r="F63" s="90" t="str">
        <f>IFERROR(VLOOKUP(ROWS($C$39:F62), 'SelloutPlan v1Main'!$D$5:$AC$208,7, FALSE), "")</f>
        <v/>
      </c>
      <c r="G63" s="91" t="str">
        <f>IFERROR(VLOOKUP(ROWS($C$39:G62), 'SelloutPlan v1Main'!$D$5:$AC$208,16, FALSE), "")</f>
        <v/>
      </c>
      <c r="H63" s="123" t="str">
        <f>IFERROR(VLOOKUP(ROWS($C$39:G62), 'SelloutPlan v1Main'!$D$5:$AC$208,17, FALSE), "")</f>
        <v/>
      </c>
      <c r="I63" s="92" t="str">
        <f>IFERROR(VLOOKUP(ROWS($C$39:H62), 'SelloutPlan v1Main'!$D$5:$AC$208,3, FALSE), "")</f>
        <v/>
      </c>
      <c r="J63" s="92" t="str">
        <f>IFERROR(VLOOKUP(ROWS($C$39:I62), 'SelloutPlan v1Main'!$D$5:$AC$208,10, FALSE), "")</f>
        <v/>
      </c>
      <c r="K63" s="92" t="str">
        <f>IFERROR(VLOOKUP(ROWS($C$39:J62), 'SelloutPlan v1Main'!$D$5:$AC$208,14, FALSE), "")</f>
        <v/>
      </c>
      <c r="L63" s="129" t="str">
        <f>IFERROR(VLOOKUP(ROWS($C$39:K62), 'SelloutPlan v1Main'!$D$5:$AC$208,10, FALSE), "")</f>
        <v/>
      </c>
      <c r="O63" s="27" t="str">
        <f>IFERROR(VLOOKUP(ROWS($O$39:U62),'SelloutPlan v1Main'!$E$5:$AC$208,2,FALSE),"")</f>
        <v/>
      </c>
      <c r="P63" s="31" t="str">
        <f>IFERROR(VLOOKUP(ROWS($O$39:U62),'SelloutPlan v1Main'!$E$5:$AC$208,12,FALSE),"")</f>
        <v/>
      </c>
      <c r="Q63" s="82" t="str">
        <f>IFERROR(VLOOKUP(ROWS($O$39:V62),'SelloutPlan v1Main'!$E$5:$AC$208,13,FALSE),"")</f>
        <v/>
      </c>
      <c r="R63" s="28" t="str">
        <f>IFERROR(VLOOKUP(ROWS($O$39:U62),'SelloutPlan v1Main'!$E$5:$AC$208,7,FALSE),"")</f>
        <v/>
      </c>
      <c r="S63" s="40" t="str">
        <f>IFERROR(VLOOKUP(ROWS($O$39:U62),'SelloutPlan v1Main'!$E$5:$AC$208,11,FALSE),"")</f>
        <v/>
      </c>
      <c r="T63" s="27" t="str">
        <f>IFERROR(VLOOKUP(ROWS($O$39:U62),'SelloutPlan v1Main'!$E$5:$AC$208,10,FALSE),"")</f>
        <v/>
      </c>
      <c r="U63" s="83" t="str">
        <f>IFERROR(VLOOKUP(ROWS($O$39:U62),'SelloutPlan v1Main'!$E$5:$AC$208,16,FALSE),"")</f>
        <v/>
      </c>
      <c r="V63" s="28" t="str">
        <f>IFERROR(IF(_xlfn.XLOOKUP(ROWS($O$39:W63), 'SelloutPlan v1Main'!$E$5:$E$208, 'SelloutPlan v1Main'!$X$5:$X$208) = 0, "", _xlfn.XLOOKUP(ROWS($O$39:W63), 'SelloutPlan v1Main'!$E$5:$E$208, 'SelloutPlan v1Main'!$X$5:$X$208)), "")</f>
        <v/>
      </c>
      <c r="W63" s="83" t="str">
        <f>IFERROR(IF(VLOOKUP(ROWS($O$39:X62), 'SelloutPlan v1Main'!$E$5:$AP$209, 25, FALSE) = 0, "", VLOOKUP(ROWS($O$39:X62), 'SelloutPlan v1Main'!$E$5:$AP$209, 24, FALSE)), "")</f>
        <v/>
      </c>
      <c r="Z63"/>
      <c r="AA63"/>
      <c r="AB63"/>
      <c r="AC63"/>
      <c r="AD63"/>
      <c r="AE63"/>
      <c r="AF63"/>
      <c r="AG63"/>
      <c r="AH63"/>
      <c r="AI63"/>
      <c r="AJ63"/>
      <c r="AK63"/>
      <c r="AL63"/>
      <c r="AM63"/>
      <c r="AN63"/>
      <c r="AO63"/>
      <c r="AP63"/>
      <c r="AQ63"/>
      <c r="AR63"/>
      <c r="AS63"/>
      <c r="AT63"/>
      <c r="AU63"/>
      <c r="AV63"/>
      <c r="AW63"/>
    </row>
    <row r="64" spans="2:49" ht="17.399999999999999" x14ac:dyDescent="0.45">
      <c r="B64" s="15">
        <v>25</v>
      </c>
      <c r="C64" s="90" t="str">
        <f>IFERROR(VLOOKUP(ROWS($C$39:C63), 'SelloutPlan v1Main'!$D$5:$AC$208,12, FALSE), "")</f>
        <v/>
      </c>
      <c r="D64" s="17" t="str">
        <f>IFERROR(VLOOKUP(ROWS($C$39:D63), 'SelloutPlan v1Main'!$D$5:$AC$208,11, FALSE), "")</f>
        <v/>
      </c>
      <c r="E64" s="17" t="str">
        <f>IFERROR(VLOOKUP(ROWS($C$39:E63), 'SelloutPlan v1Main'!$D$5:$AC$208,9, FALSE), "")</f>
        <v/>
      </c>
      <c r="F64" s="90" t="str">
        <f>IFERROR(VLOOKUP(ROWS($C$39:F63), 'SelloutPlan v1Main'!$D$5:$AC$208,7, FALSE), "")</f>
        <v/>
      </c>
      <c r="G64" s="91" t="str">
        <f>IFERROR(VLOOKUP(ROWS($C$39:G63), 'SelloutPlan v1Main'!$D$5:$AC$208,16, FALSE), "")</f>
        <v/>
      </c>
      <c r="H64" s="123" t="str">
        <f>IFERROR(VLOOKUP(ROWS($C$39:G63), 'SelloutPlan v1Main'!$D$5:$AC$208,17, FALSE), "")</f>
        <v/>
      </c>
      <c r="I64" s="92" t="str">
        <f>IFERROR(VLOOKUP(ROWS($C$39:H63), 'SelloutPlan v1Main'!$D$5:$AC$208,3, FALSE), "")</f>
        <v/>
      </c>
      <c r="J64" s="92" t="str">
        <f>IFERROR(VLOOKUP(ROWS($C$39:I63), 'SelloutPlan v1Main'!$D$5:$AC$208,10, FALSE), "")</f>
        <v/>
      </c>
      <c r="K64" s="92" t="str">
        <f>IFERROR(VLOOKUP(ROWS($C$39:J63), 'SelloutPlan v1Main'!$D$5:$AC$208,14, FALSE), "")</f>
        <v/>
      </c>
      <c r="L64" s="129" t="str">
        <f>IFERROR(VLOOKUP(ROWS($C$39:K63), 'SelloutPlan v1Main'!$D$5:$AC$208,10, FALSE), "")</f>
        <v/>
      </c>
      <c r="O64" s="27" t="str">
        <f>IFERROR(VLOOKUP(ROWS($O$39:U63),'SelloutPlan v1Main'!$E$5:$AC$208,2,FALSE),"")</f>
        <v/>
      </c>
      <c r="P64" s="31" t="str">
        <f>IFERROR(VLOOKUP(ROWS($O$39:U63),'SelloutPlan v1Main'!$E$5:$AC$208,12,FALSE),"")</f>
        <v/>
      </c>
      <c r="Q64" s="82" t="str">
        <f>IFERROR(VLOOKUP(ROWS($O$39:V63),'SelloutPlan v1Main'!$E$5:$AC$208,13,FALSE),"")</f>
        <v/>
      </c>
      <c r="R64" s="28" t="str">
        <f>IFERROR(VLOOKUP(ROWS($O$39:U63),'SelloutPlan v1Main'!$E$5:$AC$208,7,FALSE),"")</f>
        <v/>
      </c>
      <c r="S64" s="40" t="str">
        <f>IFERROR(VLOOKUP(ROWS($O$39:U63),'SelloutPlan v1Main'!$E$5:$AC$208,11,FALSE),"")</f>
        <v/>
      </c>
      <c r="T64" s="27" t="str">
        <f>IFERROR(VLOOKUP(ROWS($O$39:U63),'SelloutPlan v1Main'!$E$5:$AC$208,10,FALSE),"")</f>
        <v/>
      </c>
      <c r="U64" s="83" t="str">
        <f>IFERROR(VLOOKUP(ROWS($O$39:U63),'SelloutPlan v1Main'!$E$5:$AC$208,16,FALSE),"")</f>
        <v/>
      </c>
      <c r="V64" s="28" t="str">
        <f>IFERROR(IF(_xlfn.XLOOKUP(ROWS($O$39:W64), 'SelloutPlan v1Main'!$E$5:$E$208, 'SelloutPlan v1Main'!$X$5:$X$208) = 0, "", _xlfn.XLOOKUP(ROWS($O$39:W64), 'SelloutPlan v1Main'!$E$5:$E$208, 'SelloutPlan v1Main'!$X$5:$X$208)), "")</f>
        <v/>
      </c>
      <c r="W64" s="83" t="str">
        <f>IFERROR(IF(VLOOKUP(ROWS($O$39:X63), 'SelloutPlan v1Main'!$E$5:$AP$209, 25, FALSE) = 0, "", VLOOKUP(ROWS($O$39:X63), 'SelloutPlan v1Main'!$E$5:$AP$209, 24, FALSE)), "")</f>
        <v/>
      </c>
      <c r="Z64"/>
      <c r="AA64"/>
      <c r="AB64"/>
      <c r="AC64"/>
      <c r="AD64"/>
      <c r="AE64"/>
      <c r="AF64"/>
      <c r="AG64"/>
      <c r="AH64"/>
      <c r="AI64"/>
      <c r="AJ64"/>
      <c r="AK64"/>
    </row>
    <row r="65" spans="2:45" ht="17.399999999999999" x14ac:dyDescent="0.45">
      <c r="B65" s="15">
        <v>26</v>
      </c>
      <c r="C65" s="90" t="str">
        <f>IFERROR(VLOOKUP(ROWS($C$39:C64), 'SelloutPlan v1Main'!$D$5:$AC$208,12, FALSE), "")</f>
        <v/>
      </c>
      <c r="D65" s="17" t="str">
        <f>IFERROR(VLOOKUP(ROWS($C$39:D64), 'SelloutPlan v1Main'!$D$5:$AC$208,11, FALSE), "")</f>
        <v/>
      </c>
      <c r="E65" s="17" t="str">
        <f>IFERROR(VLOOKUP(ROWS($C$39:E64), 'SelloutPlan v1Main'!$D$5:$AC$208,9, FALSE), "")</f>
        <v/>
      </c>
      <c r="F65" s="36" t="str">
        <f>IFERROR(VLOOKUP(ROWS($C$39:F64), 'SelloutPlan v1Main'!$D$5:$AC$208,7, FALSE), "")</f>
        <v/>
      </c>
      <c r="G65" s="91" t="str">
        <f>IFERROR(VLOOKUP(ROWS($C$39:G64), 'SelloutPlan v1Main'!$D$5:$AC$208,16, FALSE), "")</f>
        <v/>
      </c>
      <c r="H65" s="123" t="str">
        <f>IFERROR(VLOOKUP(ROWS($C$39:G64), 'SelloutPlan v1Main'!$D$5:$AC$208,17, FALSE), "")</f>
        <v/>
      </c>
      <c r="I65" s="37" t="str">
        <f>IFERROR(VLOOKUP(ROWS($C$39:H64), 'SelloutPlan v1Main'!$D$5:$AC$208,3, FALSE), "")</f>
        <v/>
      </c>
      <c r="J65" s="37" t="str">
        <f>IFERROR(VLOOKUP(ROWS($C$39:I64), 'SelloutPlan v1Main'!$D$5:$AC$208,10, FALSE), "")</f>
        <v/>
      </c>
      <c r="K65" s="92" t="str">
        <f>IFERROR(VLOOKUP(ROWS($C$39:J64), 'SelloutPlan v1Main'!$D$5:$AC$208,14, FALSE), "")</f>
        <v/>
      </c>
      <c r="L65" s="51" t="str">
        <f>IFERROR(VLOOKUP(ROWS($C$39:K64), 'SelloutPlan v1Main'!$D$5:$AC$208,10, FALSE), "")</f>
        <v/>
      </c>
      <c r="O65" s="27" t="str">
        <f>IFERROR(VLOOKUP(ROWS($O$39:U64),'SelloutPlan v1Main'!$E$5:$AC$208,2,FALSE),"")</f>
        <v/>
      </c>
      <c r="P65" s="31" t="str">
        <f>IFERROR(VLOOKUP(ROWS($O$39:U64),'SelloutPlan v1Main'!$E$5:$AC$208,12,FALSE),"")</f>
        <v/>
      </c>
      <c r="Q65" s="82" t="str">
        <f>IFERROR(VLOOKUP(ROWS($O$39:V64),'SelloutPlan v1Main'!$E$5:$AC$208,13,FALSE),"")</f>
        <v/>
      </c>
      <c r="R65" s="28" t="str">
        <f>IFERROR(VLOOKUP(ROWS($O$39:U64),'SelloutPlan v1Main'!$E$5:$AC$208,7,FALSE),"")</f>
        <v/>
      </c>
      <c r="S65" s="40" t="str">
        <f>IFERROR(VLOOKUP(ROWS($O$39:U64),'SelloutPlan v1Main'!$E$5:$AC$208,11,FALSE),"")</f>
        <v/>
      </c>
      <c r="T65" s="27" t="str">
        <f>IFERROR(VLOOKUP(ROWS($O$39:U64),'SelloutPlan v1Main'!$E$5:$AC$208,10,FALSE),"")</f>
        <v/>
      </c>
      <c r="U65" s="83" t="str">
        <f>IFERROR(VLOOKUP(ROWS($O$39:U64),'SelloutPlan v1Main'!$E$5:$AC$208,16,FALSE),"")</f>
        <v/>
      </c>
      <c r="V65" s="28" t="str">
        <f>IFERROR(IF(_xlfn.XLOOKUP(ROWS($O$39:W65), 'SelloutPlan v1Main'!$E$5:$E$208, 'SelloutPlan v1Main'!$X$5:$X$208) = 0, "", _xlfn.XLOOKUP(ROWS($O$39:W65), 'SelloutPlan v1Main'!$E$5:$E$208, 'SelloutPlan v1Main'!$X$5:$X$208)), "")</f>
        <v/>
      </c>
      <c r="W65" s="83" t="str">
        <f>IFERROR(IF(VLOOKUP(ROWS($O$39:X64), 'SelloutPlan v1Main'!$E$5:$AP$209, 25, FALSE) = 0, "", VLOOKUP(ROWS($O$39:X64), 'SelloutPlan v1Main'!$E$5:$AP$209, 24, FALSE)), "")</f>
        <v/>
      </c>
      <c r="Z65"/>
      <c r="AA65"/>
      <c r="AB65"/>
      <c r="AC65"/>
      <c r="AD65"/>
      <c r="AE65"/>
      <c r="AF65"/>
      <c r="AG65"/>
      <c r="AH65"/>
      <c r="AI65"/>
      <c r="AJ65"/>
      <c r="AK65"/>
    </row>
    <row r="66" spans="2:45" ht="25.5" customHeight="1" x14ac:dyDescent="0.45">
      <c r="B66" s="15">
        <v>27</v>
      </c>
      <c r="C66" s="90" t="str">
        <f>IFERROR(VLOOKUP(ROWS($C$39:C65), 'SelloutPlan v1Main'!$D$5:$AC$208,12, FALSE), "")</f>
        <v/>
      </c>
      <c r="D66" s="17" t="str">
        <f>IFERROR(VLOOKUP(ROWS($C$39:D65), 'SelloutPlan v1Main'!$D$5:$AC$208,11, FALSE), "")</f>
        <v/>
      </c>
      <c r="E66" s="17" t="str">
        <f>IFERROR(VLOOKUP(ROWS($C$39:E65), 'SelloutPlan v1Main'!$D$5:$AC$208,9, FALSE), "")</f>
        <v/>
      </c>
      <c r="F66" s="36" t="str">
        <f>IFERROR(VLOOKUP(ROWS($C$39:F65), 'SelloutPlan v1Main'!$D$5:$AC$208,7, FALSE), "")</f>
        <v/>
      </c>
      <c r="G66" s="91" t="str">
        <f>IFERROR(VLOOKUP(ROWS($C$39:G65), 'SelloutPlan v1Main'!$D$5:$AC$208,16, FALSE), "")</f>
        <v/>
      </c>
      <c r="H66" s="123" t="str">
        <f>IFERROR(VLOOKUP(ROWS($C$39:G65), 'SelloutPlan v1Main'!$D$5:$AC$208,17, FALSE), "")</f>
        <v/>
      </c>
      <c r="I66" s="37" t="str">
        <f>IFERROR(VLOOKUP(ROWS($C$39:H65), 'SelloutPlan v1Main'!$D$5:$AC$208,3, FALSE), "")</f>
        <v/>
      </c>
      <c r="J66" s="37" t="str">
        <f>IFERROR(VLOOKUP(ROWS($C$39:I65), 'SelloutPlan v1Main'!$D$5:$AC$208,10, FALSE), "")</f>
        <v/>
      </c>
      <c r="K66" s="92" t="str">
        <f>IFERROR(VLOOKUP(ROWS($C$39:J65), 'SelloutPlan v1Main'!$D$5:$AC$208,14, FALSE), "")</f>
        <v/>
      </c>
      <c r="L66" s="51" t="str">
        <f>IFERROR(VLOOKUP(ROWS($C$39:K65), 'SelloutPlan v1Main'!$D$5:$AC$208,10, FALSE), "")</f>
        <v/>
      </c>
      <c r="O66" s="27" t="str">
        <f>IFERROR(VLOOKUP(ROWS($O$39:U65),'SelloutPlan v1Main'!$E$5:$AC$208,2,FALSE),"")</f>
        <v/>
      </c>
      <c r="P66" s="31" t="str">
        <f>IFERROR(VLOOKUP(ROWS($O$39:U65),'SelloutPlan v1Main'!$E$5:$AC$208,12,FALSE),"")</f>
        <v/>
      </c>
      <c r="Q66" s="82" t="str">
        <f>IFERROR(VLOOKUP(ROWS($O$39:V65),'SelloutPlan v1Main'!$E$5:$AC$208,13,FALSE),"")</f>
        <v/>
      </c>
      <c r="R66" s="28" t="str">
        <f>IFERROR(VLOOKUP(ROWS($O$39:U65),'SelloutPlan v1Main'!$E$5:$AC$208,7,FALSE),"")</f>
        <v/>
      </c>
      <c r="S66" s="40" t="str">
        <f>IFERROR(VLOOKUP(ROWS($O$39:U65),'SelloutPlan v1Main'!$E$5:$AC$208,11,FALSE),"")</f>
        <v/>
      </c>
      <c r="T66" s="27" t="str">
        <f>IFERROR(VLOOKUP(ROWS($O$39:T65), 'SelloutPlan v1Main'!$E$5:$AC$208, 14, FALSE), "")</f>
        <v/>
      </c>
      <c r="U66" s="83" t="str">
        <f>IFERROR(VLOOKUP(ROWS($O$39:U65),'SelloutPlan v1Main'!$E$5:$AC$208,16,FALSE),"")</f>
        <v/>
      </c>
      <c r="V66" s="28" t="str">
        <f>IFERROR(IF(_xlfn.XLOOKUP(ROWS($O$39:W66), 'SelloutPlan v1Main'!$E$5:$E$208, 'SelloutPlan v1Main'!$X$5:$X$208) = 0, "", _xlfn.XLOOKUP(ROWS($O$39:W66), 'SelloutPlan v1Main'!$E$5:$E$208, 'SelloutPlan v1Main'!$X$5:$X$208)), "")</f>
        <v/>
      </c>
      <c r="W66" s="83" t="str">
        <f>IFERROR(IF(VLOOKUP(ROWS($O$39:X65), 'SelloutPlan v1Main'!$E$5:$AP$209, 25, FALSE) = 0, "", VLOOKUP(ROWS($O$39:X65), 'SelloutPlan v1Main'!$E$5:$AP$209, 24, FALSE)), "")</f>
        <v/>
      </c>
      <c r="Z66"/>
      <c r="AA66"/>
      <c r="AB66"/>
      <c r="AC66"/>
      <c r="AD66"/>
      <c r="AE66"/>
      <c r="AF66"/>
      <c r="AG66"/>
      <c r="AH66"/>
      <c r="AI66"/>
      <c r="AJ66"/>
      <c r="AK66"/>
    </row>
    <row r="67" spans="2:45" ht="25.5" customHeight="1" x14ac:dyDescent="0.45">
      <c r="B67" s="15">
        <v>28</v>
      </c>
      <c r="C67" s="90" t="str">
        <f>IFERROR(VLOOKUP(ROWS($C$39:C66), 'SelloutPlan v1Main'!$D$5:$AC$208,12, FALSE), "")</f>
        <v/>
      </c>
      <c r="D67" s="17" t="str">
        <f>IFERROR(VLOOKUP(ROWS($C$39:D66), 'SelloutPlan v1Main'!$D$5:$AC$208,11, FALSE), "")</f>
        <v/>
      </c>
      <c r="E67" s="17" t="str">
        <f>IFERROR(VLOOKUP(ROWS($C$39:E66), 'SelloutPlan v1Main'!$D$5:$AC$208,9, FALSE), "")</f>
        <v/>
      </c>
      <c r="F67" s="36" t="str">
        <f>IFERROR(VLOOKUP(ROWS($C$39:F66), 'SelloutPlan v1Main'!$D$5:$AC$208,7, FALSE), "")</f>
        <v/>
      </c>
      <c r="G67" s="91" t="str">
        <f>IFERROR(VLOOKUP(ROWS($C$39:G66), 'SelloutPlan v1Main'!$D$5:$AC$208,16, FALSE), "")</f>
        <v/>
      </c>
      <c r="H67" s="123" t="str">
        <f>IFERROR(VLOOKUP(ROWS($C$39:G66), 'SelloutPlan v1Main'!$D$5:$AC$208,17, FALSE), "")</f>
        <v/>
      </c>
      <c r="I67" s="37" t="str">
        <f>IFERROR(VLOOKUP(ROWS($C$39:H66), 'SelloutPlan v1Main'!$D$5:$AC$208,3, FALSE), "")</f>
        <v/>
      </c>
      <c r="J67" s="37" t="str">
        <f>IFERROR(VLOOKUP(ROWS($C$39:I66), 'SelloutPlan v1Main'!$D$5:$AC$208,10, FALSE), "")</f>
        <v/>
      </c>
      <c r="K67" s="92" t="str">
        <f>IFERROR(VLOOKUP(ROWS($C$39:J66), 'SelloutPlan v1Main'!$D$5:$AC$208,14, FALSE), "")</f>
        <v/>
      </c>
      <c r="L67" s="51" t="str">
        <f>IFERROR(VLOOKUP(ROWS($C$39:K66), 'SelloutPlan v1Main'!$D$5:$AC$208,10, FALSE), "")</f>
        <v/>
      </c>
      <c r="O67" s="27" t="str">
        <f>IFERROR(VLOOKUP(ROWS($O$39:U66),'SelloutPlan v1Main'!$E$5:$AC$208,2,FALSE),"")</f>
        <v/>
      </c>
      <c r="P67" s="31" t="str">
        <f>IFERROR(VLOOKUP(ROWS($O$39:U66),'SelloutPlan v1Main'!$E$5:$AC$208,12,FALSE),"")</f>
        <v/>
      </c>
      <c r="Q67" s="82" t="str">
        <f>IFERROR(VLOOKUP(ROWS($O$39:V66),'SelloutPlan v1Main'!$E$5:$AC$208,13,FALSE),"")</f>
        <v/>
      </c>
      <c r="R67" s="28" t="str">
        <f>IFERROR(VLOOKUP(ROWS($O$39:U66),'SelloutPlan v1Main'!$E$5:$AC$208,7,FALSE),"")</f>
        <v/>
      </c>
      <c r="S67" s="40" t="str">
        <f>IFERROR(VLOOKUP(ROWS($O$39:U66),'SelloutPlan v1Main'!$E$5:$AC$208,11,FALSE),"")</f>
        <v/>
      </c>
      <c r="T67" s="27" t="str">
        <f>IFERROR(VLOOKUP(ROWS($O$39:T66), 'SelloutPlan v1Main'!$E$5:$AC$208, 14, FALSE), "")</f>
        <v/>
      </c>
      <c r="U67" s="83" t="str">
        <f>IFERROR(VLOOKUP(ROWS($O$39:U66),'SelloutPlan v1Main'!$E$5:$AC$208,16,FALSE),"")</f>
        <v/>
      </c>
      <c r="V67" s="28" t="str">
        <f>IFERROR(IF(_xlfn.XLOOKUP(ROWS($O$39:W67), 'SelloutPlan v1Main'!$E$5:$E$208, 'SelloutPlan v1Main'!$X$5:$X$208) = 0, "", _xlfn.XLOOKUP(ROWS($O$39:W67), 'SelloutPlan v1Main'!$E$5:$E$208, 'SelloutPlan v1Main'!$X$5:$X$208)), "")</f>
        <v/>
      </c>
      <c r="W67" s="83" t="str">
        <f>IFERROR(IF(VLOOKUP(ROWS($O$39:X66), 'SelloutPlan v1Main'!$E$5:$AP$209, 25, FALSE) = 0, "", VLOOKUP(ROWS($O$39:X66), 'SelloutPlan v1Main'!$E$5:$AP$209, 24, FALSE)), "")</f>
        <v/>
      </c>
      <c r="Z67"/>
      <c r="AA67"/>
      <c r="AB67"/>
      <c r="AC67"/>
      <c r="AD67"/>
      <c r="AE67"/>
      <c r="AF67"/>
      <c r="AG67"/>
      <c r="AH67"/>
      <c r="AI67"/>
      <c r="AJ67"/>
      <c r="AK67"/>
    </row>
    <row r="68" spans="2:45" ht="25.5" customHeight="1" x14ac:dyDescent="0.45">
      <c r="B68" s="15">
        <v>29</v>
      </c>
      <c r="C68" s="90" t="str">
        <f>IFERROR(VLOOKUP(ROWS($C$39:C67), 'SelloutPlan v1Main'!$D$5:$AC$208,12, FALSE), "")</f>
        <v/>
      </c>
      <c r="D68" s="17" t="str">
        <f>IFERROR(VLOOKUP(ROWS($C$39:D67), 'SelloutPlan v1Main'!$D$5:$AC$208,11, FALSE), "")</f>
        <v/>
      </c>
      <c r="E68" s="17" t="str">
        <f>IFERROR(VLOOKUP(ROWS($C$39:E67), 'SelloutPlan v1Main'!$D$5:$AC$208,9, FALSE), "")</f>
        <v/>
      </c>
      <c r="F68" s="36" t="str">
        <f>IFERROR(VLOOKUP(ROWS($C$39:F67), 'SelloutPlan v1Main'!$D$5:$AC$208,7, FALSE), "")</f>
        <v/>
      </c>
      <c r="G68" s="91" t="str">
        <f>IFERROR(VLOOKUP(ROWS($C$39:G67), 'SelloutPlan v1Main'!$D$5:$AC$208,16, FALSE), "")</f>
        <v/>
      </c>
      <c r="H68" s="123" t="str">
        <f>IFERROR(VLOOKUP(ROWS($C$39:G67), 'SelloutPlan v1Main'!$D$5:$AC$208,17, FALSE), "")</f>
        <v/>
      </c>
      <c r="I68" s="37" t="str">
        <f>IFERROR(VLOOKUP(ROWS($C$39:H67), 'SelloutPlan v1Main'!$D$5:$AC$208,3, FALSE), "")</f>
        <v/>
      </c>
      <c r="J68" s="37" t="str">
        <f>IFERROR(VLOOKUP(ROWS($C$39:I67), 'SelloutPlan v1Main'!$D$5:$AC$208,10, FALSE), "")</f>
        <v/>
      </c>
      <c r="K68" s="92" t="str">
        <f>IFERROR(VLOOKUP(ROWS($C$39:J67), 'SelloutPlan v1Main'!$D$5:$AC$208,14, FALSE), "")</f>
        <v/>
      </c>
      <c r="L68" s="51" t="str">
        <f>IFERROR(VLOOKUP(ROWS($C$39:K67), 'SelloutPlan v1Main'!$D$5:$AC$208,10, FALSE), "")</f>
        <v/>
      </c>
      <c r="O68" s="27" t="str">
        <f>IFERROR(IF(VLOOKUP(ROWS($O$39:$O67), 'SelloutPlan v1Main'!$D$5:$AC$499, 12, FALSE)="Open", VLOOKUP(ROWS($O$39:$O67), 'SelloutPlan v1Main'!$D$5:$AC$499, 3, FALSE), ""), "")</f>
        <v/>
      </c>
      <c r="P68" s="31" t="str">
        <f>IFERROR(VLOOKUP(ROWS($O$39:U67),'SelloutPlan v1Main'!$E$5:$AC$208,12,FALSE),"")</f>
        <v/>
      </c>
      <c r="Q68" s="82" t="str">
        <f>IFERROR(VLOOKUP(ROWS($O$39:V67),'SelloutPlan v1Main'!$E$5:$AC$208,13,FALSE),"")</f>
        <v/>
      </c>
      <c r="R68" s="28" t="str">
        <f>IFERROR(VLOOKUP(ROWS($O$39:U67),'SelloutPlan v1Main'!$E$5:$AC$208,7,FALSE),"")</f>
        <v/>
      </c>
      <c r="S68" s="40" t="str">
        <f>IFERROR(VLOOKUP(ROWS($O$39:S67), 'SelloutPlan v1Main'!$E$5:$AC$208, 14, FALSE), "")</f>
        <v/>
      </c>
      <c r="T68" s="27" t="str">
        <f>IFERROR(VLOOKUP(ROWS($O$39:T67), 'SelloutPlan v1Main'!$E$5:$AC$208, 14, FALSE), "")</f>
        <v/>
      </c>
      <c r="U68" s="83" t="str">
        <f>IFERROR(VLOOKUP(ROWS($O$39:U67),'SelloutPlan v1Main'!$E$5:$AC$208,16,FALSE),"")</f>
        <v/>
      </c>
      <c r="V68" s="28" t="str">
        <f>IFERROR(IF(_xlfn.XLOOKUP(ROWS($O$39:W68), 'SelloutPlan v1Main'!$E$5:$E$208, 'SelloutPlan v1Main'!$X$5:$X$208) = 0, "", _xlfn.XLOOKUP(ROWS($O$39:W68), 'SelloutPlan v1Main'!$E$5:$E$208, 'SelloutPlan v1Main'!$X$5:$X$208)), "")</f>
        <v/>
      </c>
      <c r="W68" s="83" t="str">
        <f>IFERROR(IF(VLOOKUP(ROWS($O$39:X67), 'SelloutPlan v1Main'!$E$5:$AP$209, 25, FALSE) = 0, "", VLOOKUP(ROWS($O$39:X67), 'SelloutPlan v1Main'!$E$5:$AP$209, 24, FALSE)), "")</f>
        <v/>
      </c>
      <c r="Z68"/>
      <c r="AA68"/>
      <c r="AB68"/>
      <c r="AC68"/>
      <c r="AD68"/>
      <c r="AE68"/>
      <c r="AF68"/>
      <c r="AG68"/>
      <c r="AH68"/>
      <c r="AI68"/>
      <c r="AJ68"/>
      <c r="AK68"/>
      <c r="AL68"/>
      <c r="AM68"/>
      <c r="AN68"/>
      <c r="AO68"/>
      <c r="AP68"/>
      <c r="AQ68"/>
      <c r="AR68"/>
      <c r="AS68"/>
    </row>
    <row r="69" spans="2:45" ht="17.399999999999999" x14ac:dyDescent="0.45">
      <c r="B69" s="15">
        <v>30</v>
      </c>
      <c r="C69" s="90" t="str">
        <f>IFERROR(VLOOKUP(ROWS($C$39:C68), 'SelloutPlan v1Main'!$D$5:$AC$208,12, FALSE), "")</f>
        <v/>
      </c>
      <c r="D69" s="17" t="str">
        <f>IFERROR(VLOOKUP(ROWS($C$39:D68), 'SelloutPlan v1Main'!$D$5:$AC$208,11, FALSE), "")</f>
        <v/>
      </c>
      <c r="E69" s="17" t="str">
        <f>IFERROR(VLOOKUP(ROWS($C$39:E68), 'SelloutPlan v1Main'!$D$5:$AC$208,9, FALSE), "")</f>
        <v/>
      </c>
      <c r="F69" s="36" t="str">
        <f>IFERROR(VLOOKUP(ROWS($C$39:F68), 'SelloutPlan v1Main'!$D$5:$AC$208,7, FALSE), "")</f>
        <v/>
      </c>
      <c r="G69" s="91" t="str">
        <f>IFERROR(VLOOKUP(ROWS($C$39:G68), 'SelloutPlan v1Main'!$D$5:$AC$208,16, FALSE), "")</f>
        <v/>
      </c>
      <c r="H69" s="123" t="str">
        <f>IFERROR(VLOOKUP(ROWS($C$39:G68), 'SelloutPlan v1Main'!$D$5:$AC$208,17, FALSE), "")</f>
        <v/>
      </c>
      <c r="I69" s="37" t="str">
        <f>IFERROR(VLOOKUP(ROWS($C$39:H68), 'SelloutPlan v1Main'!$D$5:$AC$208,3, FALSE), "")</f>
        <v/>
      </c>
      <c r="J69" s="37" t="str">
        <f>IFERROR(VLOOKUP(ROWS($C$39:I68), 'SelloutPlan v1Main'!$D$5:$AC$208,10, FALSE), "")</f>
        <v/>
      </c>
      <c r="K69" s="92" t="str">
        <f>IFERROR(VLOOKUP(ROWS($C$39:J68), 'SelloutPlan v1Main'!$D$5:$AC$208,14, FALSE), "")</f>
        <v/>
      </c>
      <c r="L69" s="51" t="str">
        <f>IFERROR(VLOOKUP(ROWS($C$39:K68), 'SelloutPlan v1Main'!$D$5:$AC$208,10, FALSE), "")</f>
        <v/>
      </c>
      <c r="O69" s="27" t="str">
        <f>IFERROR(IF(VLOOKUP(ROWS($O$39:$O68), 'SelloutPlan v1Main'!$D$5:$AC$499, 12, FALSE)="Open", VLOOKUP(ROWS($O$39:$O68), 'SelloutPlan v1Main'!$D$5:$AC$499, 3, FALSE), ""), "")</f>
        <v/>
      </c>
      <c r="P69" s="31" t="str">
        <f>IFERROR(VLOOKUP(ROWS($O$39:U68),'SelloutPlan v1Main'!$E$5:$AC$208,12,FALSE),"")</f>
        <v/>
      </c>
      <c r="Q69" s="82" t="str">
        <f>IFERROR(VLOOKUP(ROWS($O$39:V68),'SelloutPlan v1Main'!$E$5:$AC$208,13,FALSE),"")</f>
        <v/>
      </c>
      <c r="R69" s="28" t="str">
        <f>IFERROR(VLOOKUP(ROWS($O$39:U68),'SelloutPlan v1Main'!$E$5:$AC$208,7,FALSE),"")</f>
        <v/>
      </c>
      <c r="S69" s="40" t="str">
        <f>IFERROR(VLOOKUP(ROWS($O$39:S68), 'SelloutPlan v1Main'!$E$5:$AC$208, 14, FALSE), "")</f>
        <v/>
      </c>
      <c r="T69" s="27" t="str">
        <f>IFERROR(VLOOKUP(ROWS($O$39:T68), 'SelloutPlan v1Main'!$E$5:$AC$208, 14, FALSE), "")</f>
        <v/>
      </c>
      <c r="U69" s="83" t="str">
        <f>IFERROR(VLOOKUP(ROWS($O$39:U68),'SelloutPlan v1Main'!$E$5:$AC$208,16,FALSE),"")</f>
        <v/>
      </c>
      <c r="V69" s="28" t="str">
        <f>IFERROR(IF(_xlfn.XLOOKUP(ROWS($O$39:W69), 'SelloutPlan v1Main'!$E$5:$E$208, 'SelloutPlan v1Main'!$X$5:$X$208) = 0, "", _xlfn.XLOOKUP(ROWS($O$39:W69), 'SelloutPlan v1Main'!$E$5:$E$208, 'SelloutPlan v1Main'!$X$5:$X$208)), "")</f>
        <v/>
      </c>
      <c r="W69" s="83" t="str">
        <f>IFERROR(IF(VLOOKUP(ROWS($O$39:X68), 'SelloutPlan v1Main'!$E$5:$AP$209, 25, FALSE) = 0, "", VLOOKUP(ROWS($O$39:X68), 'SelloutPlan v1Main'!$E$5:$AP$209, 24, FALSE)), "")</f>
        <v/>
      </c>
      <c r="Z69"/>
      <c r="AA69"/>
      <c r="AB69"/>
      <c r="AC69"/>
      <c r="AD69"/>
      <c r="AE69"/>
      <c r="AF69"/>
      <c r="AG69"/>
      <c r="AH69"/>
      <c r="AI69"/>
    </row>
    <row r="70" spans="2:45" ht="17.399999999999999" x14ac:dyDescent="0.45">
      <c r="B70" s="15">
        <v>31</v>
      </c>
      <c r="C70" s="90" t="str">
        <f>IFERROR(VLOOKUP(ROWS($C$39:C69), 'SelloutPlan v1Main'!$D$5:$AC$208,12, FALSE), "")</f>
        <v/>
      </c>
      <c r="D70" s="17" t="str">
        <f>IFERROR(VLOOKUP(ROWS($C$39:D69), 'SelloutPlan v1Main'!$D$5:$AC$208,11, FALSE), "")</f>
        <v/>
      </c>
      <c r="E70" s="17" t="str">
        <f>IFERROR(VLOOKUP(ROWS($C$39:E69), 'SelloutPlan v1Main'!$D$5:$AC$208,9, FALSE), "")</f>
        <v/>
      </c>
      <c r="F70" s="36" t="str">
        <f>IFERROR(VLOOKUP(ROWS($C$39:F69), 'SelloutPlan v1Main'!$D$5:$AC$208,7, FALSE), "")</f>
        <v/>
      </c>
      <c r="G70" s="91" t="str">
        <f>IFERROR(VLOOKUP(ROWS($C$39:G69), 'SelloutPlan v1Main'!$D$5:$AC$208,16, FALSE), "")</f>
        <v/>
      </c>
      <c r="H70" s="123" t="str">
        <f>IFERROR(VLOOKUP(ROWS($C$39:G69), 'SelloutPlan v1Main'!$D$5:$AC$208,17, FALSE), "")</f>
        <v/>
      </c>
      <c r="I70" s="37" t="str">
        <f>IFERROR(VLOOKUP(ROWS($C$39:H69), 'SelloutPlan v1Main'!$D$5:$AC$208,3, FALSE), "")</f>
        <v/>
      </c>
      <c r="J70" s="37" t="str">
        <f>IFERROR(VLOOKUP(ROWS($C$39:I69), 'SelloutPlan v1Main'!$D$5:$AC$208,10, FALSE), "")</f>
        <v/>
      </c>
      <c r="K70" s="92" t="str">
        <f>IFERROR(VLOOKUP(ROWS($C$39:J69), 'SelloutPlan v1Main'!$D$5:$AC$208,14, FALSE), "")</f>
        <v/>
      </c>
      <c r="L70" s="51" t="str">
        <f>IFERROR(VLOOKUP(ROWS($C$39:K69), 'SelloutPlan v1Main'!$D$5:$AC$208,10, FALSE), "")</f>
        <v/>
      </c>
      <c r="O70" s="27" t="str">
        <f>IFERROR(IF(VLOOKUP(ROWS($O$39:$O69), 'SelloutPlan v1Main'!$D$5:$AC$499, 12, FALSE)="Open", VLOOKUP(ROWS($O$39:$O69), 'SelloutPlan v1Main'!$D$5:$AC$499, 3, FALSE), ""), "")</f>
        <v/>
      </c>
      <c r="P70" s="31" t="str">
        <f>IFERROR(VLOOKUP(ROWS($O$39:U69),'SelloutPlan v1Main'!$E$5:$AC$208,12,FALSE),"")</f>
        <v/>
      </c>
      <c r="Q70" s="82" t="str">
        <f>IFERROR(VLOOKUP(ROWS($O$39:V69),'SelloutPlan v1Main'!$E$5:$AC$208,13,FALSE),"")</f>
        <v/>
      </c>
      <c r="R70" s="28" t="str">
        <f>IFERROR(VLOOKUP(ROWS($O$39:U69),'SelloutPlan v1Main'!$E$5:$AC$208,7,FALSE),"")</f>
        <v/>
      </c>
      <c r="S70" s="40" t="str">
        <f>IFERROR(VLOOKUP(ROWS($O$39:S69), 'SelloutPlan v1Main'!$E$5:$AC$208, 14, FALSE), "")</f>
        <v/>
      </c>
      <c r="T70" s="27" t="str">
        <f>IFERROR(VLOOKUP(ROWS($O$39:T69), 'SelloutPlan v1Main'!$E$5:$AC$208, 14, FALSE), "")</f>
        <v/>
      </c>
      <c r="U70" s="83" t="str">
        <f>IFERROR(VLOOKUP(ROWS($O$39:U69),'SelloutPlan v1Main'!$E$5:$AC$208,16,FALSE),"")</f>
        <v/>
      </c>
      <c r="V70" s="28" t="str">
        <f>IFERROR(IF(_xlfn.XLOOKUP(ROWS($O$39:W70), 'SelloutPlan v1Main'!$E$5:$E$208, 'SelloutPlan v1Main'!$X$5:$X$208) = 0, "", _xlfn.XLOOKUP(ROWS($O$39:W70), 'SelloutPlan v1Main'!$E$5:$E$208, 'SelloutPlan v1Main'!$X$5:$X$208)), "")</f>
        <v/>
      </c>
      <c r="W70" s="83" t="str">
        <f>IFERROR(IF(VLOOKUP(ROWS($O$39:X69), 'SelloutPlan v1Main'!$E$5:$AP$209, 25, FALSE) = 0, "", VLOOKUP(ROWS($O$39:X69), 'SelloutPlan v1Main'!$E$5:$AP$209, 24, FALSE)), "")</f>
        <v/>
      </c>
      <c r="Z70"/>
      <c r="AA70"/>
      <c r="AB70"/>
      <c r="AC70"/>
      <c r="AD70"/>
      <c r="AE70"/>
      <c r="AF70"/>
      <c r="AG70"/>
      <c r="AH70"/>
      <c r="AI70"/>
    </row>
    <row r="71" spans="2:45" ht="17.399999999999999" x14ac:dyDescent="0.45">
      <c r="B71" s="15">
        <v>32</v>
      </c>
      <c r="C71" s="90" t="str">
        <f>IFERROR(VLOOKUP(ROWS($C$39:C70), 'SelloutPlan v1Main'!$D$5:$AC$208,12, FALSE), "")</f>
        <v/>
      </c>
      <c r="D71" s="17" t="str">
        <f>IFERROR(VLOOKUP(ROWS($C$39:D70), 'SelloutPlan v1Main'!$D$5:$AC$208,11, FALSE), "")</f>
        <v/>
      </c>
      <c r="E71" s="17" t="str">
        <f>IFERROR(VLOOKUP(ROWS($C$39:E70), 'SelloutPlan v1Main'!$D$5:$AC$208,9, FALSE), "")</f>
        <v/>
      </c>
      <c r="F71" s="36" t="str">
        <f>IFERROR(VLOOKUP(ROWS($C$39:F70), 'SelloutPlan v1Main'!$D$5:$AC$208,7, FALSE), "")</f>
        <v/>
      </c>
      <c r="G71" s="91" t="str">
        <f>IFERROR(VLOOKUP(ROWS($C$39:G70), 'SelloutPlan v1Main'!$D$5:$AC$208,16, FALSE), "")</f>
        <v/>
      </c>
      <c r="H71" s="123" t="str">
        <f>IFERROR(VLOOKUP(ROWS($C$39:G70), 'SelloutPlan v1Main'!$D$5:$AC$208,17, FALSE), "")</f>
        <v/>
      </c>
      <c r="I71" s="37" t="str">
        <f>IFERROR(VLOOKUP(ROWS($C$39:H70), 'SelloutPlan v1Main'!$D$5:$AC$208,3, FALSE), "")</f>
        <v/>
      </c>
      <c r="J71" s="37" t="str">
        <f>IFERROR(VLOOKUP(ROWS($C$39:I70), 'SelloutPlan v1Main'!$D$5:$AC$208,10, FALSE), "")</f>
        <v/>
      </c>
      <c r="K71" s="92" t="str">
        <f>IFERROR(VLOOKUP(ROWS($C$39:J70), 'SelloutPlan v1Main'!$D$5:$AC$208,14, FALSE), "")</f>
        <v/>
      </c>
      <c r="L71" s="51" t="str">
        <f>IFERROR(VLOOKUP(ROWS($C$39:K70), 'SelloutPlan v1Main'!$D$5:$AC$208,10, FALSE), "")</f>
        <v/>
      </c>
      <c r="O71" s="27" t="str">
        <f>IFERROR(IF(VLOOKUP(ROWS($O$39:$O70), 'SelloutPlan v1Main'!$D$5:$AC$499, 12, FALSE)="Open", VLOOKUP(ROWS($O$39:$O70), 'SelloutPlan v1Main'!$D$5:$AC$499, 3, FALSE), ""), "")</f>
        <v/>
      </c>
      <c r="P71" s="31" t="str">
        <f>IFERROR(VLOOKUP(ROWS($O$39:U70),'SelloutPlan v1Main'!$E$5:$AC$208,12,FALSE),"")</f>
        <v/>
      </c>
      <c r="Q71" s="82" t="str">
        <f>IFERROR(VLOOKUP(ROWS($O$39:V70),'SelloutPlan v1Main'!$E$5:$AC$208,13,FALSE),"")</f>
        <v/>
      </c>
      <c r="R71" s="28" t="str">
        <f>IFERROR(VLOOKUP(ROWS($O$39:U70),'SelloutPlan v1Main'!$E$5:$AC$208,5,FALSE),"")</f>
        <v/>
      </c>
      <c r="S71" s="40" t="str">
        <f>IFERROR(VLOOKUP(ROWS($O$39:S70), 'SelloutPlan v1Main'!$E$5:$AC$208, 14, FALSE), "")</f>
        <v/>
      </c>
      <c r="T71" s="27" t="str">
        <f>IFERROR(VLOOKUP(ROWS($O$39:T70), 'SelloutPlan v1Main'!$E$5:$AC$208, 14, FALSE), "")</f>
        <v/>
      </c>
      <c r="U71" s="83" t="str">
        <f>IFERROR(VLOOKUP(ROWS($O$39:U70),'SelloutPlan v1Main'!$E$5:$AC$208,16,FALSE),"")</f>
        <v/>
      </c>
      <c r="V71" s="28" t="str">
        <f>IFERROR(IF(_xlfn.XLOOKUP(ROWS($O$39:W71), 'SelloutPlan v1Main'!$E$5:$E$208, 'SelloutPlan v1Main'!$X$5:$X$208) = 0, "", _xlfn.XLOOKUP(ROWS($O$39:W71), 'SelloutPlan v1Main'!$E$5:$E$208, 'SelloutPlan v1Main'!$X$5:$X$208)), "")</f>
        <v/>
      </c>
      <c r="W71" s="83" t="str">
        <f>IFERROR(IF(VLOOKUP(ROWS($O$39:X70), 'SelloutPlan v1Main'!$E$5:$AP$209, 25, FALSE) = 0, "", VLOOKUP(ROWS($O$39:X70), 'SelloutPlan v1Main'!$E$5:$AP$209, 24, FALSE)), "")</f>
        <v/>
      </c>
      <c r="Z71"/>
      <c r="AA71"/>
      <c r="AB71"/>
      <c r="AC71"/>
      <c r="AD71"/>
      <c r="AE71"/>
      <c r="AF71"/>
      <c r="AG71"/>
      <c r="AH71"/>
      <c r="AI71"/>
    </row>
    <row r="72" spans="2:45" ht="17.399999999999999" x14ac:dyDescent="0.45">
      <c r="B72" s="15">
        <v>33</v>
      </c>
      <c r="C72" s="90" t="str">
        <f>IFERROR(VLOOKUP(ROWS($C$39:C71), 'SelloutPlan v1Main'!$D$5:$AC$208,12, FALSE), "")</f>
        <v/>
      </c>
      <c r="D72" s="17" t="str">
        <f>IFERROR(VLOOKUP(ROWS($C$39:D71), 'SelloutPlan v1Main'!$D$5:$AC$208,11, FALSE), "")</f>
        <v/>
      </c>
      <c r="E72" s="17" t="str">
        <f>IFERROR(VLOOKUP(ROWS($C$39:E71), 'SelloutPlan v1Main'!$D$5:$AC$208,9, FALSE), "")</f>
        <v/>
      </c>
      <c r="F72" s="36" t="str">
        <f>IFERROR(VLOOKUP(ROWS($C$39:F71), 'SelloutPlan v1Main'!$D$5:$AC$208,7, FALSE), "")</f>
        <v/>
      </c>
      <c r="G72" s="91" t="str">
        <f>IFERROR(VLOOKUP(ROWS($C$39:G71), 'SelloutPlan v1Main'!$D$5:$AC$208,16, FALSE), "")</f>
        <v/>
      </c>
      <c r="H72" s="123" t="str">
        <f>IFERROR(VLOOKUP(ROWS($C$39:G71), 'SelloutPlan v1Main'!$D$5:$AC$208,17, FALSE), "")</f>
        <v/>
      </c>
      <c r="I72" s="37" t="str">
        <f>IFERROR(VLOOKUP(ROWS($C$39:H71), 'SelloutPlan v1Main'!$D$5:$AC$208,3, FALSE), "")</f>
        <v/>
      </c>
      <c r="J72" s="37" t="str">
        <f>IFERROR(VLOOKUP(ROWS($C$39:I71), 'SelloutPlan v1Main'!$D$5:$AC$208,10, FALSE), "")</f>
        <v/>
      </c>
      <c r="K72" s="92" t="str">
        <f>IFERROR(VLOOKUP(ROWS($C$39:J71), 'SelloutPlan v1Main'!$D$5:$AC$208,14, FALSE), "")</f>
        <v/>
      </c>
      <c r="L72" s="51" t="str">
        <f>IFERROR(VLOOKUP(ROWS($C$39:K71), 'SelloutPlan v1Main'!$D$5:$AC$208,10, FALSE), "")</f>
        <v/>
      </c>
      <c r="O72" s="27" t="str">
        <f>IFERROR(IF(VLOOKUP(ROWS($O$39:$O71), 'SelloutPlan v1Main'!$D$5:$AC$499, 12, FALSE)="Open", VLOOKUP(ROWS($O$39:$O71), 'SelloutPlan v1Main'!$D$5:$AC$499, 3, FALSE), ""), "")</f>
        <v/>
      </c>
      <c r="P72" s="31" t="str">
        <f>IFERROR(VLOOKUP(ROWS($O$39:U71),'SelloutPlan v1Main'!$E$5:$AC$208,12,FALSE),"")</f>
        <v/>
      </c>
      <c r="Q72" s="82" t="str">
        <f>IFERROR(VLOOKUP(ROWS($O$39:V71),'SelloutPlan v1Main'!$E$5:$AC$208,13,FALSE),"")</f>
        <v/>
      </c>
      <c r="R72" s="28" t="str">
        <f>IFERROR(VLOOKUP(ROWS($O$39:U71),'SelloutPlan v1Main'!$E$5:$AC$208,5,FALSE),"")</f>
        <v/>
      </c>
      <c r="S72" s="40" t="str">
        <f>IFERROR(VLOOKUP(ROWS($O$39:S71), 'SelloutPlan v1Main'!$E$5:$AC$208, 14, FALSE), "")</f>
        <v/>
      </c>
      <c r="T72" s="27" t="str">
        <f>IFERROR(VLOOKUP(ROWS($O$39:T71), 'SelloutPlan v1Main'!$E$5:$AC$208, 14, FALSE), "")</f>
        <v/>
      </c>
      <c r="U72" s="83" t="str">
        <f>IFERROR(VLOOKUP(ROWS($O$39:U71),'SelloutPlan v1Main'!$E$5:$AC$208,16,FALSE),"")</f>
        <v/>
      </c>
      <c r="V72" s="28" t="str">
        <f>IFERROR(IF(_xlfn.XLOOKUP(ROWS($O$39:W72), 'SelloutPlan v1Main'!$E$5:$E$208, 'SelloutPlan v1Main'!$X$5:$X$208) = 0, "", _xlfn.XLOOKUP(ROWS($O$39:W72), 'SelloutPlan v1Main'!$E$5:$E$208, 'SelloutPlan v1Main'!$X$5:$X$208)), "")</f>
        <v/>
      </c>
      <c r="W72" s="83" t="str">
        <f>IFERROR(IF(VLOOKUP(ROWS($O$39:X71), 'SelloutPlan v1Main'!$E$5:$AP$209, 25, FALSE) = 0, "", VLOOKUP(ROWS($O$39:X71), 'SelloutPlan v1Main'!$E$5:$AP$209, 24, FALSE)), "")</f>
        <v/>
      </c>
      <c r="Z72"/>
      <c r="AA72"/>
      <c r="AB72"/>
      <c r="AC72"/>
      <c r="AD72"/>
      <c r="AE72"/>
      <c r="AF72"/>
      <c r="AG72"/>
      <c r="AH72"/>
      <c r="AI72"/>
    </row>
    <row r="73" spans="2:45" ht="17.399999999999999" x14ac:dyDescent="0.45">
      <c r="B73" s="15">
        <v>34</v>
      </c>
      <c r="C73" s="90" t="str">
        <f>IFERROR(VLOOKUP(ROWS($C$39:C72), 'SelloutPlan v1Main'!$D$5:$AC$208,12, FALSE), "")</f>
        <v/>
      </c>
      <c r="D73" s="17" t="str">
        <f>IFERROR(VLOOKUP(ROWS($C$39:D72), 'SelloutPlan v1Main'!$D$5:$AC$208,11, FALSE), "")</f>
        <v/>
      </c>
      <c r="E73" s="17" t="str">
        <f>IFERROR(VLOOKUP(ROWS($C$39:E72), 'SelloutPlan v1Main'!$D$5:$AC$208,9, FALSE), "")</f>
        <v/>
      </c>
      <c r="F73" s="36" t="str">
        <f>IFERROR(VLOOKUP(ROWS($C$39:F72), 'SelloutPlan v1Main'!$D$5:$AC$208,7, FALSE), "")</f>
        <v/>
      </c>
      <c r="G73" s="91" t="str">
        <f>IFERROR(VLOOKUP(ROWS($C$39:G72), 'SelloutPlan v1Main'!$D$5:$AC$208,16, FALSE), "")</f>
        <v/>
      </c>
      <c r="H73" s="123" t="str">
        <f>IFERROR(VLOOKUP(ROWS($C$39:G72), 'SelloutPlan v1Main'!$D$5:$AC$208,17, FALSE), "")</f>
        <v/>
      </c>
      <c r="I73" s="37" t="str">
        <f>IFERROR(VLOOKUP(ROWS($C$39:H72), 'SelloutPlan v1Main'!$D$5:$AC$208,3, FALSE), "")</f>
        <v/>
      </c>
      <c r="J73" s="37" t="str">
        <f>IFERROR(VLOOKUP(ROWS($C$39:I72), 'SelloutPlan v1Main'!$D$5:$AC$208,10, FALSE), "")</f>
        <v/>
      </c>
      <c r="K73" s="92" t="str">
        <f>IFERROR(VLOOKUP(ROWS($C$39:J72), 'SelloutPlan v1Main'!$D$5:$AC$208,14, FALSE), "")</f>
        <v/>
      </c>
      <c r="L73" s="51" t="str">
        <f>IFERROR(VLOOKUP(ROWS($C$39:K72), 'SelloutPlan v1Main'!$D$5:$AC$208,10, FALSE), "")</f>
        <v/>
      </c>
      <c r="O73" s="27" t="str">
        <f>IFERROR(IF(VLOOKUP(ROWS($O$39:$O72), 'SelloutPlan v1Main'!$D$5:$AC$499, 12, FALSE)="Open", VLOOKUP(ROWS($O$39:$O72), 'SelloutPlan v1Main'!$D$5:$AC$499, 3, FALSE), ""), "")</f>
        <v/>
      </c>
      <c r="P73" s="31" t="str">
        <f>IFERROR(VLOOKUP(ROWS($O$39:U72),'SelloutPlan v1Main'!$E$5:$AC$208,12,FALSE),"")</f>
        <v/>
      </c>
      <c r="Q73" s="82" t="str">
        <f>IFERROR(VLOOKUP(ROWS($O$39:V72),'SelloutPlan v1Main'!$E$5:$AC$208,13,FALSE),"")</f>
        <v/>
      </c>
      <c r="R73" s="28" t="str">
        <f>IFERROR(VLOOKUP(ROWS($O$39:U72),'SelloutPlan v1Main'!$E$5:$AC$208,5,FALSE),"")</f>
        <v/>
      </c>
      <c r="S73" s="40" t="str">
        <f>IFERROR(VLOOKUP(ROWS($O$39:S72), 'SelloutPlan v1Main'!$E$5:$AC$208, 14, FALSE), "")</f>
        <v/>
      </c>
      <c r="T73" s="27" t="str">
        <f>IFERROR(VLOOKUP(ROWS($O$39:T72), 'SelloutPlan v1Main'!$E$5:$AC$208, 14, FALSE), "")</f>
        <v/>
      </c>
      <c r="U73" s="83" t="str">
        <f>IFERROR(VLOOKUP(ROWS($O$39:U72),'SelloutPlan v1Main'!$E$5:$AC$208,16,FALSE),"")</f>
        <v/>
      </c>
      <c r="V73" s="28" t="str">
        <f>IFERROR(IF(_xlfn.XLOOKUP(ROWS($O$39:W73), 'SelloutPlan v1Main'!$E$5:$E$208, 'SelloutPlan v1Main'!$X$5:$X$208) = 0, "", _xlfn.XLOOKUP(ROWS($O$39:W73), 'SelloutPlan v1Main'!$E$5:$E$208, 'SelloutPlan v1Main'!$X$5:$X$208)), "")</f>
        <v/>
      </c>
      <c r="W73" s="83" t="str">
        <f>IFERROR(IF(VLOOKUP(ROWS($O$39:X72), 'SelloutPlan v1Main'!$E$5:$AP$209, 25, FALSE) = 0, "", VLOOKUP(ROWS($O$39:X72), 'SelloutPlan v1Main'!$E$5:$AP$209, 24, FALSE)), "")</f>
        <v/>
      </c>
      <c r="Z73"/>
      <c r="AA73"/>
      <c r="AB73"/>
      <c r="AC73"/>
      <c r="AD73"/>
      <c r="AE73"/>
      <c r="AF73"/>
      <c r="AG73"/>
      <c r="AH73"/>
      <c r="AI73"/>
    </row>
    <row r="74" spans="2:45" ht="17.399999999999999" x14ac:dyDescent="0.45">
      <c r="B74" s="15">
        <v>35</v>
      </c>
      <c r="C74" s="90" t="str">
        <f>IFERROR(VLOOKUP(ROWS($C$39:C73), 'SelloutPlan v1Main'!$D$5:$AC$208,12, FALSE), "")</f>
        <v/>
      </c>
      <c r="D74" s="17" t="str">
        <f>IFERROR(VLOOKUP(ROWS($C$39:D73), 'SelloutPlan v1Main'!$D$5:$AC$208,11, FALSE), "")</f>
        <v/>
      </c>
      <c r="E74" s="17" t="str">
        <f>IFERROR(VLOOKUP(ROWS($C$39:E73), 'SelloutPlan v1Main'!$D$5:$AC$208,9, FALSE), "")</f>
        <v/>
      </c>
      <c r="F74" s="36" t="str">
        <f>IFERROR(VLOOKUP(ROWS($C$39:F73), 'SelloutPlan v1Main'!$D$5:$AC$208,7, FALSE), "")</f>
        <v/>
      </c>
      <c r="G74" s="91" t="str">
        <f>IFERROR(VLOOKUP(ROWS($C$39:G73), 'SelloutPlan v1Main'!$D$5:$AC$208,16, FALSE), "")</f>
        <v/>
      </c>
      <c r="H74" s="123" t="str">
        <f>IFERROR(VLOOKUP(ROWS($C$39:G73), 'SelloutPlan v1Main'!$D$5:$AC$208,17, FALSE), "")</f>
        <v/>
      </c>
      <c r="I74" s="37" t="str">
        <f>IFERROR(VLOOKUP(ROWS($C$39:H73), 'SelloutPlan v1Main'!$D$5:$AC$208,3, FALSE), "")</f>
        <v/>
      </c>
      <c r="J74" s="37" t="str">
        <f>IFERROR(VLOOKUP(ROWS($C$39:I73), 'SelloutPlan v1Main'!$D$5:$AC$208,10, FALSE), "")</f>
        <v/>
      </c>
      <c r="K74" s="92" t="str">
        <f>IFERROR(VLOOKUP(ROWS($C$39:J73), 'SelloutPlan v1Main'!$D$5:$AC$208,14, FALSE), "")</f>
        <v/>
      </c>
      <c r="L74" s="51" t="str">
        <f>IFERROR(VLOOKUP(ROWS($C$39:K73), 'SelloutPlan v1Main'!$D$5:$AC$208,10, FALSE), "")</f>
        <v/>
      </c>
      <c r="O74" s="27" t="str">
        <f>IFERROR(IF(VLOOKUP(ROWS($O$39:$O73), 'SelloutPlan v1Main'!$D$5:$AC$499, 12, FALSE)="Open", VLOOKUP(ROWS($O$39:$O73), 'SelloutPlan v1Main'!$D$5:$AC$499, 3, FALSE), ""), "")</f>
        <v/>
      </c>
      <c r="P74" s="31" t="str">
        <f>IFERROR(VLOOKUP(ROWS($O$39:U73),'SelloutPlan v1Main'!$E$5:$AC$208,12,FALSE),"")</f>
        <v/>
      </c>
      <c r="Q74" s="82" t="str">
        <f>IFERROR(VLOOKUP(ROWS($O$39:V73),'SelloutPlan v1Main'!$E$5:$AC$208,13,FALSE),"")</f>
        <v/>
      </c>
      <c r="R74" s="28" t="str">
        <f>IFERROR(VLOOKUP(ROWS($O$39:U73),'SelloutPlan v1Main'!$E$5:$AC$208,5,FALSE),"")</f>
        <v/>
      </c>
      <c r="S74" s="40" t="str">
        <f>IFERROR(VLOOKUP(ROWS($O$39:S73), 'SelloutPlan v1Main'!$E$5:$AC$208, 14, FALSE), "")</f>
        <v/>
      </c>
      <c r="T74" s="27" t="str">
        <f>IFERROR(VLOOKUP(ROWS($O$39:T73), 'SelloutPlan v1Main'!$E$5:$AC$208, 14, FALSE), "")</f>
        <v/>
      </c>
      <c r="U74" s="83" t="str">
        <f>IFERROR(VLOOKUP(ROWS($O$39:U73),'SelloutPlan v1Main'!$E$5:$AC$208,16,FALSE),"")</f>
        <v/>
      </c>
      <c r="V74" s="28" t="str">
        <f>IFERROR(IF(_xlfn.XLOOKUP(ROWS($O$39:W74), 'SelloutPlan v1Main'!$E$5:$E$208, 'SelloutPlan v1Main'!$X$5:$X$208) = 0, "", _xlfn.XLOOKUP(ROWS($O$39:W74), 'SelloutPlan v1Main'!$E$5:$E$208, 'SelloutPlan v1Main'!$X$5:$X$208)), "")</f>
        <v/>
      </c>
      <c r="W74" s="83" t="str">
        <f>IFERROR(IF(VLOOKUP(ROWS($O$39:X73), 'SelloutPlan v1Main'!$E$5:$AP$209, 25, FALSE) = 0, "", VLOOKUP(ROWS($O$39:X73), 'SelloutPlan v1Main'!$E$5:$AP$209, 24, FALSE)), "")</f>
        <v/>
      </c>
      <c r="Z74"/>
      <c r="AA74"/>
      <c r="AB74"/>
      <c r="AC74"/>
      <c r="AD74"/>
      <c r="AE74"/>
      <c r="AF74"/>
      <c r="AG74"/>
    </row>
    <row r="75" spans="2:45" ht="17.399999999999999" x14ac:dyDescent="0.45">
      <c r="B75" s="15">
        <v>36</v>
      </c>
      <c r="C75" s="90" t="str">
        <f>IFERROR(VLOOKUP(ROWS($C$39:C74), 'SelloutPlan v1Main'!$D$5:$AC$208,12, FALSE), "")</f>
        <v/>
      </c>
      <c r="D75" s="17" t="str">
        <f>IFERROR(VLOOKUP(ROWS($C$39:D74), 'SelloutPlan v1Main'!$D$5:$AC$208,11, FALSE), "")</f>
        <v/>
      </c>
      <c r="E75" s="17" t="str">
        <f>IFERROR(VLOOKUP(ROWS($C$39:E74), 'SelloutPlan v1Main'!$D$5:$AC$208,9, FALSE), "")</f>
        <v/>
      </c>
      <c r="F75" s="36" t="str">
        <f>IFERROR(VLOOKUP(ROWS($C$39:F74), 'SelloutPlan v1Main'!$D$5:$AC$208,7, FALSE), "")</f>
        <v/>
      </c>
      <c r="G75" s="91" t="str">
        <f>IFERROR(VLOOKUP(ROWS($C$39:G74), 'SelloutPlan v1Main'!$D$5:$AC$208,16, FALSE), "")</f>
        <v/>
      </c>
      <c r="H75" s="123" t="str">
        <f>IFERROR(VLOOKUP(ROWS($C$39:G74), 'SelloutPlan v1Main'!$D$5:$AC$208,17, FALSE), "")</f>
        <v/>
      </c>
      <c r="I75" s="37" t="str">
        <f>IFERROR(VLOOKUP(ROWS($C$39:H74), 'SelloutPlan v1Main'!$D$5:$AC$208,3, FALSE), "")</f>
        <v/>
      </c>
      <c r="J75" s="37" t="str">
        <f>IFERROR(VLOOKUP(ROWS($C$39:I74), 'SelloutPlan v1Main'!$D$5:$AC$208,10, FALSE), "")</f>
        <v/>
      </c>
      <c r="K75" s="92" t="str">
        <f>IFERROR(VLOOKUP(ROWS($C$39:J74), 'SelloutPlan v1Main'!$D$5:$AC$208,14, FALSE), "")</f>
        <v/>
      </c>
      <c r="L75" s="51" t="str">
        <f>IFERROR(VLOOKUP(ROWS($C$39:K74), 'SelloutPlan v1Main'!$D$5:$AC$208,10, FALSE), "")</f>
        <v/>
      </c>
      <c r="O75" s="27" t="str">
        <f>IFERROR(IF(VLOOKUP(ROWS($O$39:$O74), 'SelloutPlan v1Main'!$D$5:$AC$499, 12, FALSE)="Open", VLOOKUP(ROWS($O$39:$O74), 'SelloutPlan v1Main'!$D$5:$AC$499, 3, FALSE), ""), "")</f>
        <v/>
      </c>
      <c r="P75" s="31" t="str">
        <f>IFERROR(VLOOKUP(ROWS($O$39:U74),'SelloutPlan v1Main'!$E$5:$AC$208,12,FALSE),"")</f>
        <v/>
      </c>
      <c r="Q75" s="82" t="str">
        <f>IFERROR(VLOOKUP(ROWS($O$39:V74),'SelloutPlan v1Main'!$E$5:$AC$208,13,FALSE),"")</f>
        <v/>
      </c>
      <c r="R75" s="28" t="str">
        <f>IFERROR(VLOOKUP(ROWS($O$39:U74),'SelloutPlan v1Main'!$E$5:$AC$208,5,FALSE),"")</f>
        <v/>
      </c>
      <c r="S75" s="40" t="str">
        <f>IFERROR(VLOOKUP(ROWS($O$39:S74), 'SelloutPlan v1Main'!$E$5:$AC$208, 14, FALSE), "")</f>
        <v/>
      </c>
      <c r="T75" s="27" t="str">
        <f>IFERROR(VLOOKUP(ROWS($O$39:T74), 'SelloutPlan v1Main'!$E$5:$AC$208, 14, FALSE), "")</f>
        <v/>
      </c>
      <c r="U75" s="83" t="str">
        <f>IFERROR(VLOOKUP(ROWS($O$39:U74),'SelloutPlan v1Main'!$E$5:$AC$208,16,FALSE),"")</f>
        <v/>
      </c>
      <c r="V75" s="28" t="str">
        <f>IFERROR(IF(_xlfn.XLOOKUP(ROWS($O$39:W75), 'SelloutPlan v1Main'!$E$5:$E$208, 'SelloutPlan v1Main'!$X$5:$X$208) = 0, "", _xlfn.XLOOKUP(ROWS($O$39:W75), 'SelloutPlan v1Main'!$E$5:$E$208, 'SelloutPlan v1Main'!$X$5:$X$208)), "")</f>
        <v/>
      </c>
      <c r="W75" s="83" t="str">
        <f>IFERROR(IF(VLOOKUP(ROWS($O$39:X74), 'SelloutPlan v1Main'!$E$5:$AP$209, 25, FALSE) = 0, "", VLOOKUP(ROWS($O$39:X74), 'SelloutPlan v1Main'!$E$5:$AP$209, 24, FALSE)), "")</f>
        <v/>
      </c>
      <c r="Z75"/>
      <c r="AA75"/>
      <c r="AB75"/>
      <c r="AC75"/>
      <c r="AD75"/>
      <c r="AE75"/>
      <c r="AF75"/>
      <c r="AG75"/>
    </row>
    <row r="76" spans="2:45" ht="17.399999999999999" x14ac:dyDescent="0.45">
      <c r="B76" s="15">
        <v>37</v>
      </c>
      <c r="C76" s="90" t="str">
        <f>IFERROR(VLOOKUP(ROWS($C$39:C75), 'SelloutPlan v1Main'!$D$5:$AC$208,12, FALSE), "")</f>
        <v/>
      </c>
      <c r="D76" s="17" t="str">
        <f>IFERROR(VLOOKUP(ROWS($C$39:D75), 'SelloutPlan v1Main'!$D$5:$AC$208,11, FALSE), "")</f>
        <v/>
      </c>
      <c r="E76" s="17" t="str">
        <f>IFERROR(VLOOKUP(ROWS($C$39:E75), 'SelloutPlan v1Main'!$D$5:$AC$208,9, FALSE), "")</f>
        <v/>
      </c>
      <c r="F76" s="36" t="str">
        <f>IFERROR(VLOOKUP(ROWS($C$39:F75), 'SelloutPlan v1Main'!$D$5:$AC$208,7, FALSE), "")</f>
        <v/>
      </c>
      <c r="G76" s="91" t="str">
        <f>IFERROR(VLOOKUP(ROWS($C$39:G75), 'SelloutPlan v1Main'!$D$5:$AC$208,16, FALSE), "")</f>
        <v/>
      </c>
      <c r="H76" s="123" t="str">
        <f>IFERROR(VLOOKUP(ROWS($C$39:G75), 'SelloutPlan v1Main'!$D$5:$AC$208,17, FALSE), "")</f>
        <v/>
      </c>
      <c r="I76" s="37" t="str">
        <f>IFERROR(VLOOKUP(ROWS($C$39:H75), 'SelloutPlan v1Main'!$D$5:$AC$208,3, FALSE), "")</f>
        <v/>
      </c>
      <c r="J76" s="37" t="str">
        <f>IFERROR(VLOOKUP(ROWS($C$39:I75), 'SelloutPlan v1Main'!$D$5:$AC$208,10, FALSE), "")</f>
        <v/>
      </c>
      <c r="K76" s="92" t="str">
        <f>IFERROR(VLOOKUP(ROWS($C$39:J75), 'SelloutPlan v1Main'!$D$5:$AC$208,14, FALSE), "")</f>
        <v/>
      </c>
      <c r="L76" s="51" t="str">
        <f>IFERROR(VLOOKUP(ROWS($C$39:K75), 'SelloutPlan v1Main'!$D$5:$AC$208,10, FALSE), "")</f>
        <v/>
      </c>
      <c r="O76" s="27" t="str">
        <f>IFERROR(IF(VLOOKUP(ROWS($O$39:$O75), 'SelloutPlan v1Main'!$D$5:$AC$499, 12, FALSE)="Open", VLOOKUP(ROWS($O$39:$O75), 'SelloutPlan v1Main'!$D$5:$AC$499, 3, FALSE), ""), "")</f>
        <v/>
      </c>
      <c r="P76" s="31" t="str">
        <f>IFERROR(VLOOKUP(ROWS($O$39:U75),'SelloutPlan v1Main'!$E$5:$AC$208,12,FALSE),"")</f>
        <v/>
      </c>
      <c r="Q76" s="82" t="str">
        <f>IFERROR(VLOOKUP(ROWS($O$39:V75),'SelloutPlan v1Main'!$E$5:$AC$208,13,FALSE),"")</f>
        <v/>
      </c>
      <c r="R76" s="28" t="str">
        <f>IFERROR(VLOOKUP(ROWS($O$39:U75),'SelloutPlan v1Main'!$E$5:$AC$208,5,FALSE),"")</f>
        <v/>
      </c>
      <c r="S76" s="40" t="str">
        <f>IFERROR(VLOOKUP(ROWS($O$39:S75), 'SelloutPlan v1Main'!$E$5:$AC$208, 14, FALSE), "")</f>
        <v/>
      </c>
      <c r="T76" s="27" t="str">
        <f>IFERROR(VLOOKUP(ROWS($O$39:T75), 'SelloutPlan v1Main'!$E$5:$AC$208, 14, FALSE), "")</f>
        <v/>
      </c>
      <c r="U76" s="83" t="str">
        <f>IFERROR(VLOOKUP(ROWS($O$39:U75),'SelloutPlan v1Main'!$E$5:$AC$208,16,FALSE),"")</f>
        <v/>
      </c>
      <c r="V76" s="28" t="str">
        <f>IFERROR(IF(_xlfn.XLOOKUP(ROWS($O$39:W76), 'SelloutPlan v1Main'!$E$5:$E$208, 'SelloutPlan v1Main'!$X$5:$X$208) = 0, "", _xlfn.XLOOKUP(ROWS($O$39:W76), 'SelloutPlan v1Main'!$E$5:$E$208, 'SelloutPlan v1Main'!$X$5:$X$208)), "")</f>
        <v/>
      </c>
      <c r="W76" s="28" t="str">
        <f>IFERROR(IF(VLOOKUP(ROWS($O$39:X75), 'SelloutPlan v1Main'!$E$5:$AP$209, 25, FALSE) = 0, "", VLOOKUP(ROWS($O$39:X75), 'SelloutPlan v1Main'!$E$5:$AP$209, 25, FALSE)), "")</f>
        <v/>
      </c>
      <c r="Z76"/>
      <c r="AA76"/>
      <c r="AB76"/>
      <c r="AC76"/>
      <c r="AD76"/>
    </row>
    <row r="77" spans="2:45" ht="17.399999999999999" x14ac:dyDescent="0.45">
      <c r="B77" s="15">
        <v>38</v>
      </c>
      <c r="C77" s="90" t="str">
        <f>IFERROR(VLOOKUP(ROWS($C$39:C76), 'SelloutPlan v1Main'!$D$5:$AC$208,12, FALSE), "")</f>
        <v/>
      </c>
      <c r="D77" s="17" t="str">
        <f>IFERROR(VLOOKUP(ROWS($C$39:D76), 'SelloutPlan v1Main'!$D$5:$AC$208,11, FALSE), "")</f>
        <v/>
      </c>
      <c r="E77" s="17" t="str">
        <f>IFERROR(VLOOKUP(ROWS($C$39:E76), 'SelloutPlan v1Main'!$D$5:$AC$208,9, FALSE), "")</f>
        <v/>
      </c>
      <c r="F77" s="36" t="str">
        <f>IFERROR(VLOOKUP(ROWS($C$39:F76), 'SelloutPlan v1Main'!$D$5:$AC$208,7, FALSE), "")</f>
        <v/>
      </c>
      <c r="G77" s="91" t="str">
        <f>IFERROR(VLOOKUP(ROWS($C$39:G76), 'SelloutPlan v1Main'!$D$5:$AC$208,16, FALSE), "")</f>
        <v/>
      </c>
      <c r="H77" s="123" t="str">
        <f>IFERROR(VLOOKUP(ROWS($C$39:G76), 'SelloutPlan v1Main'!$D$5:$AC$208,17, FALSE), "")</f>
        <v/>
      </c>
      <c r="I77" s="37" t="str">
        <f>IFERROR(VLOOKUP(ROWS($C$39:H76), 'SelloutPlan v1Main'!$D$5:$AC$208,3, FALSE), "")</f>
        <v/>
      </c>
      <c r="J77" s="37" t="str">
        <f>IFERROR(VLOOKUP(ROWS($C$39:I76), 'SelloutPlan v1Main'!$D$5:$AC$208,10, FALSE), "")</f>
        <v/>
      </c>
      <c r="K77" s="92" t="str">
        <f>IFERROR(VLOOKUP(ROWS($C$39:J76), 'SelloutPlan v1Main'!$D$5:$AC$208,14, FALSE), "")</f>
        <v/>
      </c>
      <c r="L77" s="51" t="str">
        <f>IFERROR(VLOOKUP(ROWS($C$39:K76), 'SelloutPlan v1Main'!$D$5:$AC$208,10, FALSE), "")</f>
        <v/>
      </c>
      <c r="O77" s="27" t="str">
        <f>IFERROR(IF(VLOOKUP(ROWS($O$39:$O76), 'SelloutPlan v1Main'!$D$5:$AC$499, 12, FALSE)="Open", VLOOKUP(ROWS($O$39:$O76), 'SelloutPlan v1Main'!$D$5:$AC$499, 3, FALSE), ""), "")</f>
        <v/>
      </c>
      <c r="P77" s="31" t="str">
        <f>IFERROR(VLOOKUP(ROWS($O$39:U76),'SelloutPlan v1Main'!$E$5:$AC$208,12,FALSE),"")</f>
        <v/>
      </c>
      <c r="Q77" s="82" t="str">
        <f>IFERROR(VLOOKUP(ROWS($O$39:V76),'SelloutPlan v1Main'!$E$5:$AC$208,13,FALSE),"")</f>
        <v/>
      </c>
      <c r="R77" s="28" t="str">
        <f>IFERROR(VLOOKUP(ROWS($O$39:U76),'SelloutPlan v1Main'!$E$5:$AC$208,5,FALSE),"")</f>
        <v/>
      </c>
      <c r="S77" s="40" t="str">
        <f>IFERROR(VLOOKUP(ROWS($O$39:S76), 'SelloutPlan v1Main'!$E$5:$AC$208, 14, FALSE), "")</f>
        <v/>
      </c>
      <c r="T77" s="27" t="str">
        <f>IFERROR(VLOOKUP(ROWS($O$39:T76), 'SelloutPlan v1Main'!$E$5:$AC$208, 14, FALSE), "")</f>
        <v/>
      </c>
      <c r="U77" s="83" t="str">
        <f>IFERROR(VLOOKUP(ROWS($O$39:U76),'SelloutPlan v1Main'!$E$5:$AC$208,16,FALSE),"")</f>
        <v/>
      </c>
      <c r="V77" s="28" t="str">
        <f>IFERROR(IF(_xlfn.XLOOKUP(ROWS($O$39:W77), 'SelloutPlan v1Main'!$E$5:$E$208, 'SelloutPlan v1Main'!$X$5:$X$208) = 0, "", _xlfn.XLOOKUP(ROWS($O$39:W77), 'SelloutPlan v1Main'!$E$5:$E$208, 'SelloutPlan v1Main'!$X$5:$X$208)), "")</f>
        <v/>
      </c>
      <c r="W77" s="28" t="str">
        <f>IFERROR(IF(VLOOKUP(ROWS($O$39:X76), 'SelloutPlan v1Main'!$E$5:$AP$209, 25, FALSE) = 0, "", VLOOKUP(ROWS($O$39:X76), 'SelloutPlan v1Main'!$E$5:$AP$209, 25, FALSE)), "")</f>
        <v/>
      </c>
      <c r="Z77"/>
      <c r="AA77"/>
      <c r="AB77"/>
      <c r="AC77"/>
      <c r="AD77"/>
    </row>
    <row r="78" spans="2:45" ht="17.399999999999999" x14ac:dyDescent="0.45">
      <c r="B78" s="15">
        <v>39</v>
      </c>
      <c r="C78" s="90" t="str">
        <f>IFERROR(VLOOKUP(ROWS($C$39:C77), 'SelloutPlan v1Main'!$D$5:$AC$208,12, FALSE), "")</f>
        <v/>
      </c>
      <c r="D78" s="17" t="str">
        <f>IFERROR(VLOOKUP(ROWS($C$39:D77), 'SelloutPlan v1Main'!$D$5:$AC$208,11, FALSE), "")</f>
        <v/>
      </c>
      <c r="E78" s="17" t="str">
        <f>IFERROR(VLOOKUP(ROWS($C$39:E77), 'SelloutPlan v1Main'!$D$5:$AC$208,9, FALSE), "")</f>
        <v/>
      </c>
      <c r="F78" s="36" t="str">
        <f>IFERROR(VLOOKUP(ROWS($C$39:F77), 'SelloutPlan v1Main'!$D$5:$AC$208,7, FALSE), "")</f>
        <v/>
      </c>
      <c r="G78" s="91" t="str">
        <f>IFERROR(VLOOKUP(ROWS($C$39:G77), 'SelloutPlan v1Main'!$D$5:$AC$208,16, FALSE), "")</f>
        <v/>
      </c>
      <c r="H78" s="123" t="str">
        <f>IFERROR(VLOOKUP(ROWS($C$39:G77), 'SelloutPlan v1Main'!$D$5:$AC$208,17, FALSE), "")</f>
        <v/>
      </c>
      <c r="I78" s="37" t="str">
        <f>IFERROR(VLOOKUP(ROWS($C$39:H77), 'SelloutPlan v1Main'!$D$5:$AC$208,3, FALSE), "")</f>
        <v/>
      </c>
      <c r="J78" s="37" t="str">
        <f>IFERROR(VLOOKUP(ROWS($C$39:I77), 'SelloutPlan v1Main'!$D$5:$AC$208,10, FALSE), "")</f>
        <v/>
      </c>
      <c r="K78" s="92" t="str">
        <f>IFERROR(VLOOKUP(ROWS($C$39:J77), 'SelloutPlan v1Main'!$D$5:$AC$208,14, FALSE), "")</f>
        <v/>
      </c>
      <c r="L78" s="51" t="str">
        <f>IFERROR(VLOOKUP(ROWS($C$39:K77), 'SelloutPlan v1Main'!$D$5:$AC$208,10, FALSE), "")</f>
        <v/>
      </c>
      <c r="O78" s="27" t="str">
        <f>IFERROR(IF(VLOOKUP(ROWS($O$39:$O77), 'SelloutPlan v1Main'!$D$5:$AC$499, 12, FALSE)="Open", VLOOKUP(ROWS($O$39:$O77), 'SelloutPlan v1Main'!$D$5:$AC$499, 3, FALSE), ""), "")</f>
        <v/>
      </c>
      <c r="P78" s="31" t="str">
        <f>IFERROR(VLOOKUP(ROWS($O$39:U77),'SelloutPlan v1Main'!$E$5:$AC$208,12,FALSE),"")</f>
        <v/>
      </c>
      <c r="Q78" s="82" t="str">
        <f>IFERROR(VLOOKUP(ROWS($O$39:V77),'SelloutPlan v1Main'!$E$5:$AC$208,13,FALSE),"")</f>
        <v/>
      </c>
      <c r="R78" s="28" t="str">
        <f>IFERROR(VLOOKUP(ROWS($O$39:U77),'SelloutPlan v1Main'!$E$5:$AC$208,5,FALSE),"")</f>
        <v/>
      </c>
      <c r="S78" s="40" t="str">
        <f>IFERROR(VLOOKUP(ROWS($O$39:S77), 'SelloutPlan v1Main'!$E$5:$AC$208, 14, FALSE), "")</f>
        <v/>
      </c>
      <c r="T78" s="27" t="str">
        <f>IFERROR(VLOOKUP(ROWS($O$39:T77), 'SelloutPlan v1Main'!$E$5:$AC$208, 14, FALSE), "")</f>
        <v/>
      </c>
      <c r="U78" s="83" t="str">
        <f>IFERROR(VLOOKUP(ROWS($O$39:U77),'SelloutPlan v1Main'!$E$5:$AC$208,16,FALSE),"")</f>
        <v/>
      </c>
      <c r="V78" s="28" t="str">
        <f>IFERROR(IF(_xlfn.XLOOKUP(ROWS($O$39:W78), 'SelloutPlan v1Main'!$E$5:$E$208, 'SelloutPlan v1Main'!$X$5:$X$208) = 0, "", _xlfn.XLOOKUP(ROWS($O$39:W78), 'SelloutPlan v1Main'!$E$5:$E$208, 'SelloutPlan v1Main'!$X$5:$X$208)), "")</f>
        <v/>
      </c>
      <c r="W78" s="28" t="str">
        <f>IFERROR(IF(VLOOKUP(ROWS($O$39:X77), 'SelloutPlan v1Main'!$E$5:$AP$209, 25, FALSE) = 0, "", VLOOKUP(ROWS($O$39:X77), 'SelloutPlan v1Main'!$E$5:$AP$209, 25, FALSE)), "")</f>
        <v/>
      </c>
      <c r="Z78"/>
      <c r="AA78"/>
      <c r="AB78"/>
      <c r="AC78"/>
      <c r="AD78"/>
    </row>
    <row r="79" spans="2:45" ht="17.399999999999999" x14ac:dyDescent="0.45">
      <c r="B79" s="15">
        <v>40</v>
      </c>
      <c r="C79" s="90" t="str">
        <f>IFERROR(VLOOKUP(ROWS($C$39:C78), 'SelloutPlan v1Main'!$D$5:$AC$208,12, FALSE), "")</f>
        <v/>
      </c>
      <c r="D79" s="17" t="str">
        <f>IFERROR(VLOOKUP(ROWS($C$39:D78), 'SelloutPlan v1Main'!$D$5:$AC$208,11, FALSE), "")</f>
        <v/>
      </c>
      <c r="E79" s="17" t="str">
        <f>IFERROR(VLOOKUP(ROWS($C$39:E78), 'SelloutPlan v1Main'!$D$5:$AC$208,9, FALSE), "")</f>
        <v/>
      </c>
      <c r="F79" s="36" t="str">
        <f>IFERROR(VLOOKUP(ROWS($C$39:F78), 'SelloutPlan v1Main'!$D$5:$AC$208,7, FALSE), "")</f>
        <v/>
      </c>
      <c r="G79" s="91" t="str">
        <f>IFERROR(VLOOKUP(ROWS($C$39:G78), 'SelloutPlan v1Main'!$D$5:$AC$208,16, FALSE), "")</f>
        <v/>
      </c>
      <c r="H79" s="123" t="str">
        <f>IFERROR(VLOOKUP(ROWS($C$39:G78), 'SelloutPlan v1Main'!$D$5:$AC$208,17, FALSE), "")</f>
        <v/>
      </c>
      <c r="I79" s="37" t="str">
        <f>IFERROR(VLOOKUP(ROWS($C$39:H78), 'SelloutPlan v1Main'!$D$5:$AC$208,3, FALSE), "")</f>
        <v/>
      </c>
      <c r="J79" s="37" t="str">
        <f>IFERROR(VLOOKUP(ROWS($C$39:I78), 'SelloutPlan v1Main'!$D$5:$AC$208,10, FALSE), "")</f>
        <v/>
      </c>
      <c r="K79" s="92" t="str">
        <f>IFERROR(VLOOKUP(ROWS($C$39:J78), 'SelloutPlan v1Main'!$D$5:$AC$208,14, FALSE), "")</f>
        <v/>
      </c>
      <c r="L79" s="51" t="str">
        <f>IFERROR(VLOOKUP(ROWS($C$39:K78), 'SelloutPlan v1Main'!$D$5:$AC$208,10, FALSE), "")</f>
        <v/>
      </c>
      <c r="O79" s="27" t="str">
        <f>IFERROR(IF(VLOOKUP(ROWS($O$39:$O78), 'SelloutPlan v1Main'!$D$5:$AC$499, 12, FALSE)="Open", VLOOKUP(ROWS($O$39:$O78), 'SelloutPlan v1Main'!$D$5:$AC$499, 3, FALSE), ""), "")</f>
        <v/>
      </c>
      <c r="P79" s="31" t="str">
        <f>IFERROR(VLOOKUP(ROWS($O$39:U78),'SelloutPlan v1Main'!$E$5:$AC$208,12,FALSE),"")</f>
        <v/>
      </c>
      <c r="Q79" s="82" t="str">
        <f>IFERROR(VLOOKUP(ROWS($O$39:V78),'SelloutPlan v1Main'!$E$5:$AC$208,13,FALSE),"")</f>
        <v/>
      </c>
      <c r="R79" s="28" t="str">
        <f>IFERROR(VLOOKUP(ROWS($O$39:U78),'SelloutPlan v1Main'!$E$5:$AC$208,5,FALSE),"")</f>
        <v/>
      </c>
      <c r="S79" s="40" t="str">
        <f>IFERROR(VLOOKUP(ROWS($O$39:S78), 'SelloutPlan v1Main'!$E$5:$AC$208, 14, FALSE), "")</f>
        <v/>
      </c>
      <c r="T79" s="27" t="str">
        <f>IFERROR(VLOOKUP(ROWS($O$39:T78), 'SelloutPlan v1Main'!$E$5:$AC$208, 14, FALSE), "")</f>
        <v/>
      </c>
      <c r="U79" s="83" t="str">
        <f>IFERROR(VLOOKUP(ROWS($O$39:U78),'SelloutPlan v1Main'!$E$5:$AC$208,16,FALSE),"")</f>
        <v/>
      </c>
      <c r="V79" s="28" t="str">
        <f>IFERROR(IF(_xlfn.XLOOKUP(ROWS($O$39:W79), 'SelloutPlan v1Main'!$E$5:$E$208, 'SelloutPlan v1Main'!$X$5:$X$208) = 0, "", _xlfn.XLOOKUP(ROWS($O$39:W79), 'SelloutPlan v1Main'!$E$5:$E$208, 'SelloutPlan v1Main'!$X$5:$X$208)), "")</f>
        <v/>
      </c>
      <c r="W79" s="28" t="str">
        <f>IFERROR(IF(VLOOKUP(ROWS($O$39:X78), 'SelloutPlan v1Main'!$E$5:$AP$209, 25, FALSE) = 0, "", VLOOKUP(ROWS($O$39:X78), 'SelloutPlan v1Main'!$E$5:$AP$209, 25, FALSE)), "")</f>
        <v/>
      </c>
      <c r="Z79"/>
      <c r="AA79"/>
      <c r="AB79"/>
      <c r="AC79"/>
      <c r="AD79"/>
    </row>
    <row r="80" spans="2:45" ht="17.399999999999999" x14ac:dyDescent="0.45">
      <c r="B80" s="15">
        <v>41</v>
      </c>
      <c r="C80" s="17" t="str">
        <f>IFERROR(VLOOKUP(ROWS($C$39:C79), 'SelloutPlan v1Main'!$D$5:$AC$208,12, FALSE), "")</f>
        <v/>
      </c>
      <c r="D80" s="17" t="str">
        <f>IFERROR(VLOOKUP(ROWS($C$39:D79), 'SelloutPlan v1Main'!$D$5:$AC$208,11, FALSE), "")</f>
        <v/>
      </c>
      <c r="E80" s="17" t="str">
        <f>IFERROR(VLOOKUP(ROWS($C$39:E79), 'SelloutPlan v1Main'!$D$5:$AC$208,9, FALSE), "")</f>
        <v/>
      </c>
      <c r="F80" s="36" t="str">
        <f>IFERROR(VLOOKUP(ROWS($C$39:F79), 'SelloutPlan v1Main'!$D$5:$AC$208,7, FALSE), "")</f>
        <v/>
      </c>
      <c r="G80" s="91" t="str">
        <f>IFERROR(VLOOKUP(ROWS($C$39:G79), 'SelloutPlan v1Main'!$D$5:$AC$208,16, FALSE), "")</f>
        <v/>
      </c>
      <c r="H80" s="123" t="str">
        <f>IFERROR(VLOOKUP(ROWS($C$39:G79), 'SelloutPlan v1Main'!$D$5:$AC$208,17, FALSE), "")</f>
        <v/>
      </c>
      <c r="I80" s="37" t="str">
        <f>IFERROR(VLOOKUP(ROWS($C$39:H79), 'SelloutPlan v1Main'!$D$5:$AC$208,3, FALSE), "")</f>
        <v/>
      </c>
      <c r="J80" s="37" t="str">
        <f>IFERROR(VLOOKUP(ROWS($C$39:I79), 'SelloutPlan v1Main'!$D$5:$AC$208,10, FALSE), "")</f>
        <v/>
      </c>
      <c r="K80" s="92" t="str">
        <f>IFERROR(VLOOKUP(ROWS($C$39:J79), 'SelloutPlan v1Main'!$D$5:$AC$208,14, FALSE), "")</f>
        <v/>
      </c>
      <c r="L80" s="51" t="str">
        <f>IFERROR(VLOOKUP(ROWS($C$39:K79), 'SelloutPlan v1Main'!$D$5:$AC$208,10, FALSE), "")</f>
        <v/>
      </c>
      <c r="O80" s="27" t="str">
        <f>IFERROR(IF(VLOOKUP(ROWS($O$39:$O79), 'SelloutPlan v1Main'!$D$5:$AC$499, 12, FALSE)="Open", VLOOKUP(ROWS($O$39:$O79), 'SelloutPlan v1Main'!$D$5:$AC$499, 3, FALSE), ""), "")</f>
        <v/>
      </c>
      <c r="P80" s="31" t="str">
        <f>IFERROR(VLOOKUP(ROWS($O$39:U79),'SelloutPlan v1Main'!$E$5:$AC$208,12,FALSE),"")</f>
        <v/>
      </c>
      <c r="Q80" s="82" t="str">
        <f>IFERROR(VLOOKUP(ROWS($O$39:V79),'SelloutPlan v1Main'!$E$5:$AC$208,13,FALSE),"")</f>
        <v/>
      </c>
      <c r="R80" s="28" t="str">
        <f>IFERROR(VLOOKUP(ROWS($O$39:U79),'SelloutPlan v1Main'!$E$5:$AC$208,5,FALSE),"")</f>
        <v/>
      </c>
      <c r="S80" s="40" t="str">
        <f>IFERROR(VLOOKUP(ROWS($O$39:S79), 'SelloutPlan v1Main'!$E$5:$AC$208, 14, FALSE), "")</f>
        <v/>
      </c>
      <c r="T80" s="27" t="str">
        <f>IFERROR(VLOOKUP(ROWS($O$39:T79), 'SelloutPlan v1Main'!$E$5:$AC$208, 14, FALSE), "")</f>
        <v/>
      </c>
      <c r="U80" s="83" t="str">
        <f>IFERROR(VLOOKUP(ROWS($O$39:U79),'SelloutPlan v1Main'!$E$5:$AC$208,16,FALSE),"")</f>
        <v/>
      </c>
      <c r="V80" s="28" t="str">
        <f>IFERROR(IF(_xlfn.XLOOKUP(ROWS($O$39:W80), 'SelloutPlan v1Main'!$E$5:$E$208, 'SelloutPlan v1Main'!$X$5:$X$208) = 0, "", _xlfn.XLOOKUP(ROWS($O$39:W80), 'SelloutPlan v1Main'!$E$5:$E$208, 'SelloutPlan v1Main'!$X$5:$X$208)), "")</f>
        <v/>
      </c>
      <c r="W80" s="28" t="str">
        <f>IFERROR(IF(VLOOKUP(ROWS($O$39:X79), 'SelloutPlan v1Main'!$E$5:$AP$209, 25, FALSE) = 0, "", VLOOKUP(ROWS($O$39:X79), 'SelloutPlan v1Main'!$E$5:$AP$209, 25, FALSE)), "")</f>
        <v/>
      </c>
      <c r="Z80"/>
      <c r="AA80"/>
      <c r="AB80"/>
      <c r="AC80"/>
      <c r="AD80"/>
    </row>
    <row r="81" spans="2:30" ht="17.399999999999999" x14ac:dyDescent="0.45">
      <c r="B81" s="15">
        <v>42</v>
      </c>
      <c r="C81" s="17" t="str">
        <f>IFERROR(VLOOKUP(ROWS($C$39:C80), 'SelloutPlan v1Main'!$D$5:$AC$208,12, FALSE), "")</f>
        <v/>
      </c>
      <c r="D81" s="17" t="str">
        <f>IFERROR(VLOOKUP(ROWS($C$39:D80), 'SelloutPlan v1Main'!$D$5:$AC$208,11, FALSE), "")</f>
        <v/>
      </c>
      <c r="E81" s="17" t="str">
        <f>IFERROR(VLOOKUP(ROWS($C$39:E80), 'SelloutPlan v1Main'!$D$5:$AC$208,9, FALSE), "")</f>
        <v/>
      </c>
      <c r="F81" s="36" t="str">
        <f>IFERROR(VLOOKUP(ROWS($C$39:F80), 'SelloutPlan v1Main'!$D$5:$AC$208,7, FALSE), "")</f>
        <v/>
      </c>
      <c r="G81" s="91" t="str">
        <f>IFERROR(VLOOKUP(ROWS($C$39:G80), 'SelloutPlan v1Main'!$D$5:$AC$208,16, FALSE), "")</f>
        <v/>
      </c>
      <c r="H81" s="123" t="str">
        <f>IFERROR(VLOOKUP(ROWS($C$39:G80), 'SelloutPlan v1Main'!$D$5:$AC$208,17, FALSE), "")</f>
        <v/>
      </c>
      <c r="I81" s="37" t="str">
        <f>IFERROR(VLOOKUP(ROWS($C$39:H80), 'SelloutPlan v1Main'!$D$5:$AC$208,3, FALSE), "")</f>
        <v/>
      </c>
      <c r="J81" s="37" t="str">
        <f>IFERROR(VLOOKUP(ROWS($C$39:I80), 'SelloutPlan v1Main'!$D$5:$AC$208,10, FALSE), "")</f>
        <v/>
      </c>
      <c r="K81" s="92" t="str">
        <f>IFERROR(VLOOKUP(ROWS($C$39:J80), 'SelloutPlan v1Main'!$D$5:$AC$208,14, FALSE), "")</f>
        <v/>
      </c>
      <c r="L81" s="51" t="str">
        <f>IFERROR(VLOOKUP(ROWS($C$39:K80), 'SelloutPlan v1Main'!$D$5:$AC$208,10, FALSE), "")</f>
        <v/>
      </c>
      <c r="O81" s="27" t="str">
        <f>IFERROR(IF(VLOOKUP(ROWS($O$39:$O80), 'SelloutPlan v1Main'!$D$5:$AC$499, 12, FALSE)="Open", VLOOKUP(ROWS($O$39:$O80), 'SelloutPlan v1Main'!$D$5:$AC$499, 3, FALSE), ""), "")</f>
        <v/>
      </c>
      <c r="P81" s="31" t="str">
        <f>IFERROR(VLOOKUP(ROWS($O$39:U80),'SelloutPlan v1Main'!$E$5:$AC$208,12,FALSE),"")</f>
        <v/>
      </c>
      <c r="Q81" s="82" t="str">
        <f>IFERROR(VLOOKUP(ROWS($O$39:V80),'SelloutPlan v1Main'!$E$5:$AC$208,13,FALSE),"")</f>
        <v/>
      </c>
      <c r="R81" s="28" t="str">
        <f>IFERROR(VLOOKUP(ROWS($O$39:U80),'SelloutPlan v1Main'!$E$5:$AC$208,5,FALSE),"")</f>
        <v/>
      </c>
      <c r="S81" s="40" t="str">
        <f>IFERROR(VLOOKUP(ROWS($O$39:S80), 'SelloutPlan v1Main'!$E$5:$AC$208, 14, FALSE), "")</f>
        <v/>
      </c>
      <c r="T81" s="27" t="str">
        <f>IFERROR(VLOOKUP(ROWS($O$39:T80), 'SelloutPlan v1Main'!$E$5:$AC$208, 14, FALSE), "")</f>
        <v/>
      </c>
      <c r="U81" s="83" t="str">
        <f>IFERROR(VLOOKUP(ROWS($O$39:U80),'SelloutPlan v1Main'!$E$5:$AC$208,16,FALSE),"")</f>
        <v/>
      </c>
      <c r="V81" s="28" t="str">
        <f>IFERROR(IF(_xlfn.XLOOKUP(ROWS($O$39:W81), 'SelloutPlan v1Main'!$E$5:$E$208, 'SelloutPlan v1Main'!$X$5:$X$208) = 0, "", _xlfn.XLOOKUP(ROWS($O$39:W81), 'SelloutPlan v1Main'!$E$5:$E$208, 'SelloutPlan v1Main'!$X$5:$X$208)), "")</f>
        <v/>
      </c>
      <c r="W81" s="28" t="str">
        <f>IFERROR(IF(VLOOKUP(ROWS($O$39:X80), 'SelloutPlan v1Main'!$E$5:$AP$209, 25, FALSE) = 0, "", VLOOKUP(ROWS($O$39:X80), 'SelloutPlan v1Main'!$E$5:$AP$209, 25, FALSE)), "")</f>
        <v/>
      </c>
      <c r="Z81"/>
      <c r="AA81"/>
      <c r="AB81"/>
      <c r="AC81"/>
      <c r="AD81"/>
    </row>
    <row r="82" spans="2:30" ht="17.399999999999999" x14ac:dyDescent="0.45">
      <c r="B82" s="15">
        <v>43</v>
      </c>
      <c r="C82" s="17" t="str">
        <f>IFERROR(VLOOKUP(ROWS($C$39:C81), 'SelloutPlan v1Main'!$D$5:$AC$208,12, FALSE), "")</f>
        <v/>
      </c>
      <c r="D82" s="17" t="str">
        <f>IFERROR(VLOOKUP(ROWS($C$39:D81), 'SelloutPlan v1Main'!$D$5:$AC$208,11, FALSE), "")</f>
        <v/>
      </c>
      <c r="E82" s="17" t="str">
        <f>IFERROR(VLOOKUP(ROWS($C$39:E81), 'SelloutPlan v1Main'!$D$5:$AC$208,9, FALSE), "")</f>
        <v/>
      </c>
      <c r="F82" s="36" t="str">
        <f>IFERROR(VLOOKUP(ROWS($C$39:F81), 'SelloutPlan v1Main'!$D$5:$AC$208,7, FALSE), "")</f>
        <v/>
      </c>
      <c r="G82" s="91" t="str">
        <f>IFERROR(VLOOKUP(ROWS($C$39:G81), 'SelloutPlan v1Main'!$D$5:$AC$208,16, FALSE), "")</f>
        <v/>
      </c>
      <c r="H82" s="123" t="str">
        <f>IFERROR(VLOOKUP(ROWS($C$39:G81), 'SelloutPlan v1Main'!$D$5:$AC$208,17, FALSE), "")</f>
        <v/>
      </c>
      <c r="I82" s="37" t="str">
        <f>IFERROR(VLOOKUP(ROWS($C$39:H81), 'SelloutPlan v1Main'!$D$5:$AC$208,3, FALSE), "")</f>
        <v/>
      </c>
      <c r="J82" s="37" t="str">
        <f>IFERROR(VLOOKUP(ROWS($C$39:I81), 'SelloutPlan v1Main'!$D$5:$AC$208,10, FALSE), "")</f>
        <v/>
      </c>
      <c r="K82" s="92" t="str">
        <f>IFERROR(VLOOKUP(ROWS($C$39:J81), 'SelloutPlan v1Main'!$D$5:$AC$208,14, FALSE), "")</f>
        <v/>
      </c>
      <c r="L82" s="51" t="str">
        <f>IFERROR(VLOOKUP(ROWS($C$39:K81), 'SelloutPlan v1Main'!$D$5:$AC$208,10, FALSE), "")</f>
        <v/>
      </c>
      <c r="O82" s="27" t="str">
        <f>IFERROR(IF(VLOOKUP(ROWS($O$39:$O81), 'SelloutPlan v1Main'!$D$5:$AC$499, 12, FALSE)="Open", VLOOKUP(ROWS($O$39:$O81), 'SelloutPlan v1Main'!$D$5:$AC$499, 3, FALSE), ""), "")</f>
        <v/>
      </c>
      <c r="P82" s="31" t="str">
        <f>IFERROR(VLOOKUP(ROWS($O$39:U81),'SelloutPlan v1Main'!$E$5:$AC$208,12,FALSE),"")</f>
        <v/>
      </c>
      <c r="Q82" s="82" t="str">
        <f>IFERROR(VLOOKUP(ROWS($O$39:V81),'SelloutPlan v1Main'!$E$5:$AC$208,13,FALSE),"")</f>
        <v/>
      </c>
      <c r="R82" s="28" t="str">
        <f>IFERROR(VLOOKUP(ROWS($O$39:U81),'SelloutPlan v1Main'!$E$5:$AC$208,5,FALSE),"")</f>
        <v/>
      </c>
      <c r="S82" s="40" t="str">
        <f>IFERROR(VLOOKUP(ROWS($O$39:S81), 'SelloutPlan v1Main'!$E$5:$AC$208, 14, FALSE), "")</f>
        <v/>
      </c>
      <c r="T82" s="27" t="str">
        <f>IFERROR(VLOOKUP(ROWS($O$39:T81), 'SelloutPlan v1Main'!$E$5:$AC$208, 14, FALSE), "")</f>
        <v/>
      </c>
      <c r="U82" s="83" t="str">
        <f>IFERROR(VLOOKUP(ROWS($O$39:U81),'SelloutPlan v1Main'!$E$5:$AC$208,16,FALSE),"")</f>
        <v/>
      </c>
      <c r="V82" s="28" t="str">
        <f>IFERROR(IF(_xlfn.XLOOKUP(ROWS($O$39:W82), 'SelloutPlan v1Main'!$E$5:$E$208, 'SelloutPlan v1Main'!$X$5:$X$208) = 0, "", _xlfn.XLOOKUP(ROWS($O$39:W82), 'SelloutPlan v1Main'!$E$5:$E$208, 'SelloutPlan v1Main'!$X$5:$X$208)), "")</f>
        <v/>
      </c>
      <c r="W82" s="28" t="str">
        <f>IFERROR(IF(VLOOKUP(ROWS($O$39:X81), 'SelloutPlan v1Main'!$E$5:$AP$209, 25, FALSE) = 0, "", VLOOKUP(ROWS($O$39:X81), 'SelloutPlan v1Main'!$E$5:$AP$209, 25, FALSE)), "")</f>
        <v/>
      </c>
      <c r="Z82"/>
      <c r="AA82"/>
      <c r="AB82"/>
      <c r="AC82"/>
      <c r="AD82"/>
    </row>
    <row r="83" spans="2:30" ht="17.399999999999999" x14ac:dyDescent="0.45">
      <c r="B83" s="15">
        <v>44</v>
      </c>
      <c r="C83" s="17" t="str">
        <f>IFERROR(VLOOKUP(ROWS($C$39:C82), 'SelloutPlan v1Main'!$D$5:$AC$208,12, FALSE), "")</f>
        <v/>
      </c>
      <c r="D83" s="17" t="str">
        <f>IFERROR(VLOOKUP(ROWS($C$39:D82), 'SelloutPlan v1Main'!$D$5:$AC$208,11, FALSE), "")</f>
        <v/>
      </c>
      <c r="E83" s="17" t="str">
        <f>IFERROR(VLOOKUP(ROWS($C$39:E82), 'SelloutPlan v1Main'!$D$5:$AC$208,9, FALSE), "")</f>
        <v/>
      </c>
      <c r="F83" s="36" t="str">
        <f>IFERROR(VLOOKUP(ROWS($C$39:F82), 'SelloutPlan v1Main'!$D$5:$AC$208,7, FALSE), "")</f>
        <v/>
      </c>
      <c r="G83" s="91" t="str">
        <f>IFERROR(VLOOKUP(ROWS($C$39:G82), 'SelloutPlan v1Main'!$D$5:$AC$208,16, FALSE), "")</f>
        <v/>
      </c>
      <c r="H83" s="123" t="str">
        <f>IFERROR(VLOOKUP(ROWS($C$39:G82), 'SelloutPlan v1Main'!$D$5:$AC$208,17, FALSE), "")</f>
        <v/>
      </c>
      <c r="I83" s="37" t="str">
        <f>IFERROR(VLOOKUP(ROWS($C$39:H82), 'SelloutPlan v1Main'!$D$5:$AC$208,3, FALSE), "")</f>
        <v/>
      </c>
      <c r="J83" s="37" t="str">
        <f>IFERROR(VLOOKUP(ROWS($C$39:I82), 'SelloutPlan v1Main'!$D$5:$AC$208,10, FALSE), "")</f>
        <v/>
      </c>
      <c r="K83" s="37" t="str">
        <f>IFERROR(VLOOKUP(ROWS($C$39:J82), 'SelloutPlan v1Main'!$D$5:$AC$208,14, FALSE), "")</f>
        <v/>
      </c>
      <c r="L83" s="51" t="str">
        <f>IFERROR(VLOOKUP(ROWS($C$39:K82), 'SelloutPlan v1Main'!$D$5:$AC$208,10, FALSE), "")</f>
        <v/>
      </c>
      <c r="O83" s="27" t="str">
        <f>IFERROR(IF(VLOOKUP(ROWS($O$39:$O82), 'SelloutPlan v1Main'!$D$5:$AC$499, 12, FALSE)="Open", VLOOKUP(ROWS($O$39:$O82), 'SelloutPlan v1Main'!$D$5:$AC$499, 3, FALSE), ""), "")</f>
        <v/>
      </c>
      <c r="P83" s="31" t="str">
        <f>IFERROR(VLOOKUP(ROWS($O$39:U82),'SelloutPlan v1Main'!$E$5:$AC$208,12,FALSE),"")</f>
        <v/>
      </c>
      <c r="Q83" s="82" t="str">
        <f>IFERROR(VLOOKUP(ROWS($O$39:V82),'SelloutPlan v1Main'!$E$5:$AC$208,13,FALSE),"")</f>
        <v/>
      </c>
      <c r="R83" s="28" t="str">
        <f>IFERROR(VLOOKUP(ROWS($O$39:U82),'SelloutPlan v1Main'!$E$5:$AC$208,5,FALSE),"")</f>
        <v/>
      </c>
      <c r="S83" s="40" t="str">
        <f>IFERROR(VLOOKUP(ROWS($O$39:S82), 'SelloutPlan v1Main'!$E$5:$AC$208, 14, FALSE), "")</f>
        <v/>
      </c>
      <c r="T83" s="27" t="str">
        <f>IFERROR(VLOOKUP(ROWS($O$39:T82), 'SelloutPlan v1Main'!$E$5:$AC$208, 14, FALSE), "")</f>
        <v/>
      </c>
      <c r="U83" s="83" t="str">
        <f>IFERROR(VLOOKUP(ROWS($O$39:U82),'SelloutPlan v1Main'!$E$5:$AC$208,16,FALSE),"")</f>
        <v/>
      </c>
      <c r="V83" s="28" t="str">
        <f>IFERROR(IF(_xlfn.XLOOKUP(ROWS($O$39:W83), 'SelloutPlan v1Main'!$E$5:$E$208, 'SelloutPlan v1Main'!$X$5:$X$208) = 0, "", _xlfn.XLOOKUP(ROWS($O$39:W83), 'SelloutPlan v1Main'!$E$5:$E$208, 'SelloutPlan v1Main'!$X$5:$X$208)), "")</f>
        <v/>
      </c>
      <c r="W83" s="28" t="str">
        <f>IFERROR(IF(VLOOKUP(ROWS($O$39:X82), 'SelloutPlan v1Main'!$E$5:$AP$209, 25, FALSE) = 0, "", VLOOKUP(ROWS($O$39:X82), 'SelloutPlan v1Main'!$E$5:$AP$209, 25, FALSE)), "")</f>
        <v/>
      </c>
      <c r="Z83"/>
      <c r="AA83"/>
      <c r="AB83"/>
      <c r="AC83"/>
      <c r="AD83"/>
    </row>
    <row r="84" spans="2:30" ht="17.399999999999999" x14ac:dyDescent="0.45">
      <c r="B84" s="15">
        <v>45</v>
      </c>
      <c r="C84" s="17" t="str">
        <f>IFERROR(VLOOKUP(ROWS($C$39:C83), 'SelloutPlan v1Main'!$D$5:$AC$208,12, FALSE), "")</f>
        <v/>
      </c>
      <c r="D84" s="17" t="str">
        <f>IFERROR(VLOOKUP(ROWS($C$39:D83), 'SelloutPlan v1Main'!$D$5:$AC$208,11, FALSE), "")</f>
        <v/>
      </c>
      <c r="E84" s="17" t="str">
        <f>IFERROR(VLOOKUP(ROWS($C$39:E83), 'SelloutPlan v1Main'!$D$5:$AC$208,9, FALSE), "")</f>
        <v/>
      </c>
      <c r="F84" s="36" t="str">
        <f>IFERROR(VLOOKUP(ROWS($C$39:F83), 'SelloutPlan v1Main'!$D$5:$AC$208,7, FALSE), "")</f>
        <v/>
      </c>
      <c r="G84" s="91" t="str">
        <f>IFERROR(VLOOKUP(ROWS($C$39:G83), 'SelloutPlan v1Main'!$D$5:$AC$208,16, FALSE), "")</f>
        <v/>
      </c>
      <c r="H84" s="123" t="str">
        <f>IFERROR(VLOOKUP(ROWS($C$39:G83), 'SelloutPlan v1Main'!$D$5:$AC$208,17, FALSE), "")</f>
        <v/>
      </c>
      <c r="I84" s="37" t="str">
        <f>IFERROR(VLOOKUP(ROWS($C$39:H83), 'SelloutPlan v1Main'!$D$5:$AC$208,3, FALSE), "")</f>
        <v/>
      </c>
      <c r="J84" s="37" t="str">
        <f>IFERROR(VLOOKUP(ROWS($C$39:I83), 'SelloutPlan v1Main'!$D$5:$AC$208,10, FALSE), "")</f>
        <v/>
      </c>
      <c r="K84" s="37" t="str">
        <f>IFERROR(VLOOKUP(ROWS($C$39:J83), 'SelloutPlan v1Main'!$D$5:$AC$208,14, FALSE), "")</f>
        <v/>
      </c>
      <c r="L84" s="51" t="str">
        <f>IFERROR(VLOOKUP(ROWS($C$39:K83), 'SelloutPlan v1Main'!$D$5:$AC$208,10, FALSE), "")</f>
        <v/>
      </c>
      <c r="O84" s="27" t="str">
        <f>IFERROR(IF(VLOOKUP(ROWS($O$39:$O83), 'SelloutPlan v1Main'!$D$5:$AC$499, 12, FALSE)="Open", VLOOKUP(ROWS($O$39:$O83), 'SelloutPlan v1Main'!$D$5:$AC$499, 3, FALSE), ""), "")</f>
        <v/>
      </c>
      <c r="P84" s="31" t="str">
        <f>IFERROR(VLOOKUP(ROWS($O$39:U83),'SelloutPlan v1Main'!$E$5:$AC$208,12,FALSE),"")</f>
        <v/>
      </c>
      <c r="Q84" s="82" t="str">
        <f>IFERROR(VLOOKUP(ROWS($O$39:V83),'SelloutPlan v1Main'!$E$5:$AC$208,13,FALSE),"")</f>
        <v/>
      </c>
      <c r="R84" s="28" t="str">
        <f>IFERROR(VLOOKUP(ROWS($O$39:U83),'SelloutPlan v1Main'!$E$5:$AC$208,5,FALSE),"")</f>
        <v/>
      </c>
      <c r="S84" s="40" t="str">
        <f>IFERROR(VLOOKUP(ROWS($O$39:S83), 'SelloutPlan v1Main'!$E$5:$AC$208, 14, FALSE), "")</f>
        <v/>
      </c>
      <c r="T84" s="27" t="str">
        <f>IFERROR(VLOOKUP(ROWS($O$39:T83), 'SelloutPlan v1Main'!$E$5:$AC$208, 14, FALSE), "")</f>
        <v/>
      </c>
      <c r="U84" s="83" t="str">
        <f>IFERROR(VLOOKUP(ROWS($O$39:U83),'SelloutPlan v1Main'!$E$5:$AC$208,16,FALSE),"")</f>
        <v/>
      </c>
      <c r="V84" s="28" t="str">
        <f>IFERROR(IF(_xlfn.XLOOKUP(ROWS($O$39:W84), 'SelloutPlan v1Main'!$E$5:$E$208, 'SelloutPlan v1Main'!$X$5:$X$208) = 0, "", _xlfn.XLOOKUP(ROWS($O$39:W84), 'SelloutPlan v1Main'!$E$5:$E$208, 'SelloutPlan v1Main'!$X$5:$X$208)), "")</f>
        <v/>
      </c>
      <c r="W84" s="28" t="str">
        <f>IFERROR(IF(VLOOKUP(ROWS($O$39:X83), 'SelloutPlan v1Main'!$E$5:$AP$209, 25, FALSE) = 0, "", VLOOKUP(ROWS($O$39:X83), 'SelloutPlan v1Main'!$E$5:$AP$209, 25, FALSE)), "")</f>
        <v/>
      </c>
      <c r="Z84"/>
      <c r="AA84"/>
      <c r="AB84"/>
      <c r="AC84"/>
      <c r="AD84"/>
    </row>
    <row r="85" spans="2:30" ht="17.399999999999999" x14ac:dyDescent="0.45">
      <c r="B85" s="15">
        <v>46</v>
      </c>
      <c r="C85" s="17" t="str">
        <f>IFERROR(VLOOKUP(ROWS($C$39:C84), 'SelloutPlan v1Main'!$D$5:$AC$208,12, FALSE), "")</f>
        <v/>
      </c>
      <c r="D85" s="17" t="str">
        <f>IFERROR(VLOOKUP(ROWS($C$39:D84), 'SelloutPlan v1Main'!$D$5:$AC$208,11, FALSE), "")</f>
        <v/>
      </c>
      <c r="E85" s="17" t="str">
        <f>IFERROR(VLOOKUP(ROWS($C$39:E84), 'SelloutPlan v1Main'!$D$5:$AC$208,9, FALSE), "")</f>
        <v/>
      </c>
      <c r="F85" s="36" t="str">
        <f>IFERROR(VLOOKUP(ROWS($C$39:F84), 'SelloutPlan v1Main'!$D$5:$AC$208,7, FALSE), "")</f>
        <v/>
      </c>
      <c r="G85" s="91" t="str">
        <f>IFERROR(VLOOKUP(ROWS($C$39:G84), 'SelloutPlan v1Main'!$D$5:$AC$208,16, FALSE), "")</f>
        <v/>
      </c>
      <c r="H85" s="123" t="str">
        <f>IFERROR(VLOOKUP(ROWS($C$39:G84), 'SelloutPlan v1Main'!$D$5:$AC$208,17, FALSE), "")</f>
        <v/>
      </c>
      <c r="I85" s="37" t="str">
        <f>IFERROR(VLOOKUP(ROWS($C$39:H84), 'SelloutPlan v1Main'!$D$5:$AC$208,3, FALSE), "")</f>
        <v/>
      </c>
      <c r="J85" s="37" t="str">
        <f>IFERROR(VLOOKUP(ROWS($C$39:I84), 'SelloutPlan v1Main'!$D$5:$AC$208,10, FALSE), "")</f>
        <v/>
      </c>
      <c r="K85" s="37" t="str">
        <f>IFERROR(VLOOKUP(ROWS($C$39:J84), 'SelloutPlan v1Main'!$D$5:$AC$208,14, FALSE), "")</f>
        <v/>
      </c>
      <c r="L85" s="51" t="str">
        <f>IFERROR(VLOOKUP(ROWS($C$39:K84), 'SelloutPlan v1Main'!$D$5:$AC$208,10, FALSE), "")</f>
        <v/>
      </c>
      <c r="O85" s="27" t="str">
        <f>IFERROR(IF(VLOOKUP(ROWS($O$39:$O84), 'SelloutPlan v1Main'!$D$5:$AC$499, 12, FALSE)="Open", VLOOKUP(ROWS($O$39:$O84), 'SelloutPlan v1Main'!$D$5:$AC$499, 3, FALSE), ""), "")</f>
        <v/>
      </c>
      <c r="P85" s="31" t="str">
        <f>IFERROR(VLOOKUP(ROWS($O$39:U84),'SelloutPlan v1Main'!$E$5:$AC$208,12,FALSE),"")</f>
        <v/>
      </c>
      <c r="Q85" s="82" t="str">
        <f>IFERROR(VLOOKUP(ROWS($O$39:V84),'SelloutPlan v1Main'!$E$5:$AC$208,13,FALSE),"")</f>
        <v/>
      </c>
      <c r="R85" s="28" t="str">
        <f>IFERROR(VLOOKUP(ROWS($O$39:U84),'SelloutPlan v1Main'!$E$5:$AC$208,5,FALSE),"")</f>
        <v/>
      </c>
      <c r="S85" s="40" t="str">
        <f>IFERROR(VLOOKUP(ROWS($O$39:S84), 'SelloutPlan v1Main'!$E$5:$AC$208, 14, FALSE), "")</f>
        <v/>
      </c>
      <c r="T85" s="27" t="str">
        <f>IFERROR(VLOOKUP(ROWS($O$39:T84), 'SelloutPlan v1Main'!$E$5:$AC$208, 14, FALSE), "")</f>
        <v/>
      </c>
      <c r="U85" s="83" t="str">
        <f>IFERROR(VLOOKUP(ROWS($O$39:U84),'SelloutPlan v1Main'!$E$5:$AC$208,16,FALSE),"")</f>
        <v/>
      </c>
      <c r="V85" s="28" t="str">
        <f>IFERROR(IF(_xlfn.XLOOKUP(ROWS($O$39:W85), 'SelloutPlan v1Main'!$E$5:$E$208, 'SelloutPlan v1Main'!$X$5:$X$208) = 0, "", _xlfn.XLOOKUP(ROWS($O$39:W85), 'SelloutPlan v1Main'!$E$5:$E$208, 'SelloutPlan v1Main'!$X$5:$X$208)), "")</f>
        <v/>
      </c>
      <c r="W85" s="28" t="str">
        <f>IFERROR(IF(VLOOKUP(ROWS($O$39:X84), 'SelloutPlan v1Main'!$E$5:$AP$209, 25, FALSE) = 0, "", VLOOKUP(ROWS($O$39:X84), 'SelloutPlan v1Main'!$E$5:$AP$209, 25, FALSE)), "")</f>
        <v/>
      </c>
      <c r="Z85"/>
      <c r="AA85"/>
      <c r="AB85"/>
      <c r="AC85"/>
      <c r="AD85"/>
    </row>
    <row r="86" spans="2:30" ht="17.399999999999999" x14ac:dyDescent="0.45">
      <c r="B86" s="15">
        <v>47</v>
      </c>
      <c r="C86" s="17" t="str">
        <f>IFERROR(VLOOKUP(ROWS($C$39:C85), 'SelloutPlan v1Main'!$D$5:$AC$208,12, FALSE), "")</f>
        <v/>
      </c>
      <c r="D86" s="17" t="str">
        <f>IFERROR(VLOOKUP(ROWS($C$39:D85), 'SelloutPlan v1Main'!$D$5:$AC$208,11, FALSE), "")</f>
        <v/>
      </c>
      <c r="E86" s="17" t="str">
        <f>IFERROR(VLOOKUP(ROWS($C$39:E85), 'SelloutPlan v1Main'!$D$5:$AC$208,9, FALSE), "")</f>
        <v/>
      </c>
      <c r="F86" s="36" t="str">
        <f>IFERROR(VLOOKUP(ROWS($C$39:F85), 'SelloutPlan v1Main'!$D$5:$AC$208,7, FALSE), "")</f>
        <v/>
      </c>
      <c r="G86" s="91" t="str">
        <f>IFERROR(VLOOKUP(ROWS($C$39:G85), 'SelloutPlan v1Main'!$D$5:$AC$208,16, FALSE), "")</f>
        <v/>
      </c>
      <c r="H86" s="123" t="str">
        <f>IFERROR(VLOOKUP(ROWS($C$39:G85), 'SelloutPlan v1Main'!$D$5:$AC$208,17, FALSE), "")</f>
        <v/>
      </c>
      <c r="I86" s="37" t="str">
        <f>IFERROR(VLOOKUP(ROWS($C$39:H85), 'SelloutPlan v1Main'!$D$5:$AC$208,3, FALSE), "")</f>
        <v/>
      </c>
      <c r="J86" s="37" t="str">
        <f>IFERROR(VLOOKUP(ROWS($C$39:I85), 'SelloutPlan v1Main'!$D$5:$AC$208,10, FALSE), "")</f>
        <v/>
      </c>
      <c r="K86" s="37" t="str">
        <f>IFERROR(VLOOKUP(ROWS($C$39:J85), 'SelloutPlan v1Main'!$D$5:$AC$208,14, FALSE), "")</f>
        <v/>
      </c>
      <c r="L86" s="51" t="str">
        <f>IFERROR(VLOOKUP(ROWS($C$39:K85), 'SelloutPlan v1Main'!$D$5:$AC$208,10, FALSE), "")</f>
        <v/>
      </c>
      <c r="O86" s="27" t="str">
        <f>IFERROR(IF(VLOOKUP(ROWS($O$39:$O85), 'SelloutPlan v1Main'!$D$5:$AC$499, 12, FALSE)="Open", VLOOKUP(ROWS($O$39:$O85), 'SelloutPlan v1Main'!$D$5:$AC$499, 3, FALSE), ""), "")</f>
        <v/>
      </c>
      <c r="P86" s="31" t="str">
        <f>IFERROR(VLOOKUP(ROWS($O$39:U85),'SelloutPlan v1Main'!$E$5:$AC$208,12,FALSE),"")</f>
        <v/>
      </c>
      <c r="Q86" s="82" t="str">
        <f>IFERROR(VLOOKUP(ROWS($O$39:V85),'SelloutPlan v1Main'!$E$5:$AC$208,13,FALSE),"")</f>
        <v/>
      </c>
      <c r="R86" s="28" t="str">
        <f>IFERROR(VLOOKUP(ROWS($O$39:U85),'SelloutPlan v1Main'!$E$5:$AC$208,5,FALSE),"")</f>
        <v/>
      </c>
      <c r="S86" s="40" t="str">
        <f>IFERROR(VLOOKUP(ROWS($O$39:S85), 'SelloutPlan v1Main'!$E$5:$AC$208, 14, FALSE), "")</f>
        <v/>
      </c>
      <c r="T86" s="27" t="str">
        <f>IFERROR(VLOOKUP(ROWS($O$39:T85), 'SelloutPlan v1Main'!$E$5:$AC$208, 14, FALSE), "")</f>
        <v/>
      </c>
      <c r="U86" s="83" t="str">
        <f>IFERROR(VLOOKUP(ROWS($O$39:U85),'SelloutPlan v1Main'!$E$5:$AC$208,16,FALSE),"")</f>
        <v/>
      </c>
      <c r="V86" s="28" t="str">
        <f>IFERROR(IF(_xlfn.XLOOKUP(ROWS($O$39:W86), 'SelloutPlan v1Main'!$E$5:$E$208, 'SelloutPlan v1Main'!$X$5:$X$208) = 0, "", _xlfn.XLOOKUP(ROWS($O$39:W86), 'SelloutPlan v1Main'!$E$5:$E$208, 'SelloutPlan v1Main'!$X$5:$X$208)), "")</f>
        <v/>
      </c>
      <c r="W86" s="28" t="str">
        <f>IFERROR(IF(VLOOKUP(ROWS($O$39:X85), 'SelloutPlan v1Main'!$E$5:$AP$209, 25, FALSE) = 0, "", VLOOKUP(ROWS($O$39:X85), 'SelloutPlan v1Main'!$E$5:$AP$209, 25, FALSE)), "")</f>
        <v/>
      </c>
      <c r="Z86"/>
      <c r="AA86"/>
      <c r="AB86"/>
      <c r="AC86"/>
      <c r="AD86"/>
    </row>
    <row r="87" spans="2:30" ht="17.399999999999999" x14ac:dyDescent="0.45">
      <c r="B87" s="15">
        <v>48</v>
      </c>
      <c r="C87" s="17" t="str">
        <f>IFERROR(VLOOKUP(ROWS($C$39:C86), 'SelloutPlan v1Main'!$D$5:$AC$208,12, FALSE), "")</f>
        <v/>
      </c>
      <c r="D87" s="17" t="str">
        <f>IFERROR(VLOOKUP(ROWS($C$39:D86), 'SelloutPlan v1Main'!$D$5:$AC$208,11, FALSE), "")</f>
        <v/>
      </c>
      <c r="E87" s="17" t="str">
        <f>IFERROR(VLOOKUP(ROWS($C$39:E86), 'SelloutPlan v1Main'!$D$5:$AC$208,9, FALSE), "")</f>
        <v/>
      </c>
      <c r="F87" s="36" t="str">
        <f>IFERROR(VLOOKUP(ROWS($C$39:F86), 'SelloutPlan v1Main'!$D$5:$AC$208,7, FALSE), "")</f>
        <v/>
      </c>
      <c r="G87" s="91" t="str">
        <f>IFERROR(VLOOKUP(ROWS($C$39:G86), 'SelloutPlan v1Main'!$D$5:$AC$208,16, FALSE), "")</f>
        <v/>
      </c>
      <c r="H87" s="123" t="str">
        <f>IFERROR(VLOOKUP(ROWS($C$39:G86), 'SelloutPlan v1Main'!$D$5:$AC$208,17, FALSE), "")</f>
        <v/>
      </c>
      <c r="I87" s="37" t="str">
        <f>IFERROR(VLOOKUP(ROWS($C$39:H86), 'SelloutPlan v1Main'!$D$5:$AC$208,3, FALSE), "")</f>
        <v/>
      </c>
      <c r="J87" s="37" t="str">
        <f>IFERROR(VLOOKUP(ROWS($C$39:I86), 'SelloutPlan v1Main'!$D$5:$AC$208,10, FALSE), "")</f>
        <v/>
      </c>
      <c r="K87" s="37" t="str">
        <f>IFERROR(VLOOKUP(ROWS($C$39:J86), 'SelloutPlan v1Main'!$D$5:$AC$208,14, FALSE), "")</f>
        <v/>
      </c>
      <c r="L87" s="51" t="str">
        <f>IFERROR(VLOOKUP(ROWS($C$39:K86), 'SelloutPlan v1Main'!$D$5:$AC$208,10, FALSE), "")</f>
        <v/>
      </c>
      <c r="O87" s="27" t="str">
        <f>IFERROR(IF(VLOOKUP(ROWS($O$39:$O86), 'SelloutPlan v1Main'!$D$5:$AC$499, 12, FALSE)="Open", VLOOKUP(ROWS($O$39:$O86), 'SelloutPlan v1Main'!$D$5:$AC$499, 3, FALSE), ""), "")</f>
        <v/>
      </c>
      <c r="P87" s="31" t="str">
        <f>IFERROR(VLOOKUP(ROWS($O$39:U86),'SelloutPlan v1Main'!$E$5:$AC$208,12,FALSE),"")</f>
        <v/>
      </c>
      <c r="Q87" s="82" t="str">
        <f>IFERROR(VLOOKUP(ROWS($O$39:V86),'SelloutPlan v1Main'!$E$5:$AC$208,13,FALSE),"")</f>
        <v/>
      </c>
      <c r="R87" s="28" t="str">
        <f>IFERROR(VLOOKUP(ROWS($O$39:U86),'SelloutPlan v1Main'!$E$5:$AC$208,5,FALSE),"")</f>
        <v/>
      </c>
      <c r="S87" s="40" t="str">
        <f>IFERROR(VLOOKUP(ROWS($O$39:S86), 'SelloutPlan v1Main'!$E$5:$AC$208, 14, FALSE), "")</f>
        <v/>
      </c>
      <c r="T87" s="27" t="str">
        <f>IFERROR(VLOOKUP(ROWS($O$39:T86), 'SelloutPlan v1Main'!$E$5:$AC$208, 14, FALSE), "")</f>
        <v/>
      </c>
      <c r="U87" s="83" t="str">
        <f>IFERROR(VLOOKUP(ROWS($O$39:U86),'SelloutPlan v1Main'!$E$5:$AC$208,16,FALSE),"")</f>
        <v/>
      </c>
      <c r="V87" s="28" t="str">
        <f>IFERROR(IF(_xlfn.XLOOKUP(ROWS($O$39:W87), 'SelloutPlan v1Main'!$E$5:$E$208, 'SelloutPlan v1Main'!$X$5:$X$208) = 0, "", _xlfn.XLOOKUP(ROWS($O$39:W87), 'SelloutPlan v1Main'!$E$5:$E$208, 'SelloutPlan v1Main'!$X$5:$X$208)), "")</f>
        <v/>
      </c>
      <c r="W87" s="28" t="str">
        <f>IFERROR(IF(VLOOKUP(ROWS($O$39:X86), 'SelloutPlan v1Main'!$E$5:$AP$209, 25, FALSE) = 0, "", VLOOKUP(ROWS($O$39:X86), 'SelloutPlan v1Main'!$E$5:$AP$209, 25, FALSE)), "")</f>
        <v/>
      </c>
      <c r="Z87"/>
      <c r="AA87"/>
      <c r="AB87"/>
      <c r="AC87"/>
      <c r="AD87"/>
    </row>
    <row r="88" spans="2:30" ht="17.399999999999999" x14ac:dyDescent="0.45">
      <c r="B88" s="15">
        <v>49</v>
      </c>
      <c r="C88" s="17" t="str">
        <f>IFERROR(VLOOKUP(ROWS($C$39:C87), 'SelloutPlan v1Main'!$D$5:$AC$208,12, FALSE), "")</f>
        <v/>
      </c>
      <c r="D88" s="17" t="str">
        <f>IFERROR(VLOOKUP(ROWS($C$39:D87), 'SelloutPlan v1Main'!$D$5:$AC$208,11, FALSE), "")</f>
        <v/>
      </c>
      <c r="E88" s="17" t="str">
        <f>IFERROR(VLOOKUP(ROWS($C$39:E87), 'SelloutPlan v1Main'!$D$5:$AC$208,9, FALSE), "")</f>
        <v/>
      </c>
      <c r="F88" s="36" t="str">
        <f>IFERROR(VLOOKUP(ROWS($C$39:F87), 'SelloutPlan v1Main'!$D$5:$AC$208,7, FALSE), "")</f>
        <v/>
      </c>
      <c r="G88" s="91" t="str">
        <f>IFERROR(VLOOKUP(ROWS($C$39:G87), 'SelloutPlan v1Main'!$D$5:$AC$208,16, FALSE), "")</f>
        <v/>
      </c>
      <c r="H88" s="123" t="str">
        <f>IFERROR(VLOOKUP(ROWS($C$39:G87), 'SelloutPlan v1Main'!$D$5:$AC$208,17, FALSE), "")</f>
        <v/>
      </c>
      <c r="I88" s="37" t="str">
        <f>IFERROR(VLOOKUP(ROWS($C$39:H87), 'SelloutPlan v1Main'!$D$5:$AC$208,3, FALSE), "")</f>
        <v/>
      </c>
      <c r="J88" s="37" t="str">
        <f>IFERROR(VLOOKUP(ROWS($C$39:I87), 'SelloutPlan v1Main'!$D$5:$AC$208,10, FALSE), "")</f>
        <v/>
      </c>
      <c r="K88" s="37" t="str">
        <f>IFERROR(VLOOKUP(ROWS($C$39:J87), 'SelloutPlan v1Main'!$D$5:$AC$208,14, FALSE), "")</f>
        <v/>
      </c>
      <c r="L88" s="51" t="str">
        <f>IFERROR(VLOOKUP(ROWS($C$39:K87), 'SelloutPlan v1Main'!$D$5:$AC$208,10, FALSE), "")</f>
        <v/>
      </c>
      <c r="O88" s="27" t="str">
        <f>IFERROR(IF(VLOOKUP(ROWS($O$39:$O87), 'SelloutPlan v1Main'!$D$5:$AC$499, 12, FALSE)="Open", VLOOKUP(ROWS($O$39:$O87), 'SelloutPlan v1Main'!$D$5:$AC$499, 3, FALSE), ""), "")</f>
        <v/>
      </c>
      <c r="P88" s="31" t="str">
        <f>IFERROR(VLOOKUP(ROWS($O$39:U87),'SelloutPlan v1Main'!$E$5:$AC$208,12,FALSE),"")</f>
        <v/>
      </c>
      <c r="Q88" s="82" t="str">
        <f>IFERROR(VLOOKUP(ROWS($O$39:V87),'SelloutPlan v1Main'!$E$5:$AC$208,13,FALSE),"")</f>
        <v/>
      </c>
      <c r="R88" s="28" t="str">
        <f>IFERROR(VLOOKUP(ROWS($O$39:U87),'SelloutPlan v1Main'!$E$5:$AC$208,5,FALSE),"")</f>
        <v/>
      </c>
      <c r="S88" s="40" t="str">
        <f>IFERROR(VLOOKUP(ROWS($O$39:S87), 'SelloutPlan v1Main'!$E$5:$AC$208, 14, FALSE), "")</f>
        <v/>
      </c>
      <c r="T88" s="27" t="str">
        <f>IFERROR(VLOOKUP(ROWS($O$39:T87), 'SelloutPlan v1Main'!$E$5:$AC$208, 14, FALSE), "")</f>
        <v/>
      </c>
      <c r="U88" s="83" t="str">
        <f>IFERROR(VLOOKUP(ROWS($O$39:U87),'SelloutPlan v1Main'!$E$5:$AC$208,16,FALSE),"")</f>
        <v/>
      </c>
      <c r="V88" s="28" t="str">
        <f>IFERROR(IF(_xlfn.XLOOKUP(ROWS($O$39:W88), 'SelloutPlan v1Main'!$E$5:$E$208, 'SelloutPlan v1Main'!$X$5:$X$208) = 0, "", _xlfn.XLOOKUP(ROWS($O$39:W88), 'SelloutPlan v1Main'!$E$5:$E$208, 'SelloutPlan v1Main'!$X$5:$X$208)), "")</f>
        <v/>
      </c>
      <c r="W88" s="28" t="str">
        <f>IFERROR(IF(VLOOKUP(ROWS($O$39:X87), 'SelloutPlan v1Main'!$E$5:$AP$209, 25, FALSE) = 0, "", VLOOKUP(ROWS($O$39:X87), 'SelloutPlan v1Main'!$E$5:$AP$209, 25, FALSE)), "")</f>
        <v/>
      </c>
      <c r="Z88"/>
      <c r="AA88"/>
      <c r="AB88"/>
      <c r="AC88"/>
      <c r="AD88"/>
    </row>
    <row r="89" spans="2:30" ht="25.5" customHeight="1" x14ac:dyDescent="0.45">
      <c r="B89" s="15">
        <v>50</v>
      </c>
      <c r="C89" s="17" t="str">
        <f>IFERROR(VLOOKUP(ROWS($C$39:C88), 'SelloutPlan v1Main'!$D$5:$AC$208,12, FALSE), "")</f>
        <v/>
      </c>
      <c r="D89" s="17" t="str">
        <f>IFERROR(VLOOKUP(ROWS($C$39:D88), 'SelloutPlan v1Main'!$D$5:$AC$208,11, FALSE), "")</f>
        <v/>
      </c>
      <c r="E89" s="17" t="str">
        <f>IFERROR(VLOOKUP(ROWS($C$39:E88), 'SelloutPlan v1Main'!$D$5:$AC$208,9, FALSE), "")</f>
        <v/>
      </c>
      <c r="F89" s="36" t="str">
        <f>IFERROR(VLOOKUP(ROWS($C$39:F88), 'SelloutPlan v1Main'!$D$5:$AC$208,7, FALSE), "")</f>
        <v/>
      </c>
      <c r="G89" s="91" t="str">
        <f>IFERROR(VLOOKUP(ROWS($C$39:G88), 'SelloutPlan v1Main'!$D$5:$AC$208,16, FALSE), "")</f>
        <v/>
      </c>
      <c r="H89" s="123" t="str">
        <f>IFERROR(VLOOKUP(ROWS($C$39:G88), 'SelloutPlan v1Main'!$D$5:$AC$208,17, FALSE), "")</f>
        <v/>
      </c>
      <c r="I89" s="37" t="str">
        <f>IFERROR(VLOOKUP(ROWS($C$39:H88), 'SelloutPlan v1Main'!$D$5:$AC$208,3, FALSE), "")</f>
        <v/>
      </c>
      <c r="J89" s="37" t="str">
        <f>IFERROR(VLOOKUP(ROWS($C$39:I88), 'SelloutPlan v1Main'!$D$5:$AC$208,10, FALSE), "")</f>
        <v/>
      </c>
      <c r="K89" s="37" t="str">
        <f>IFERROR(VLOOKUP(ROWS($C$39:J88), 'SelloutPlan v1Main'!$D$5:$AC$208,14, FALSE), "")</f>
        <v/>
      </c>
      <c r="L89" s="51" t="str">
        <f>IFERROR(VLOOKUP(ROWS($C$39:K88), 'SelloutPlan v1Main'!$D$5:$AC$208,10, FALSE), "")</f>
        <v/>
      </c>
      <c r="O89" s="27" t="str">
        <f>IFERROR(IF(VLOOKUP(ROWS($O$39:$O88), 'SelloutPlan v1Main'!$D$5:$AC$499, 12, FALSE)="Open", VLOOKUP(ROWS($O$39:$O88), 'SelloutPlan v1Main'!$D$5:$AC$499, 3, FALSE), ""), "")</f>
        <v/>
      </c>
      <c r="P89" s="31" t="str">
        <f>IFERROR(VLOOKUP(ROWS($O$39:U88),'SelloutPlan v1Main'!$E$5:$AC$208,12,FALSE),"")</f>
        <v/>
      </c>
      <c r="Q89" s="82" t="str">
        <f>IFERROR(VLOOKUP(ROWS($O$39:V88),'SelloutPlan v1Main'!$E$5:$AC$208,13,FALSE),"")</f>
        <v/>
      </c>
      <c r="R89" s="28" t="str">
        <f>IFERROR(VLOOKUP(ROWS($O$39:U88),'SelloutPlan v1Main'!$E$5:$AC$208,5,FALSE),"")</f>
        <v/>
      </c>
      <c r="S89" s="40" t="str">
        <f>IFERROR(VLOOKUP(ROWS($O$39:S88), 'SelloutPlan v1Main'!$E$5:$AC$208, 14, FALSE), "")</f>
        <v/>
      </c>
      <c r="T89" s="27" t="str">
        <f>IFERROR(VLOOKUP(ROWS($O$39:T88), 'SelloutPlan v1Main'!$E$5:$AC$208, 14, FALSE), "")</f>
        <v/>
      </c>
      <c r="U89" s="83" t="str">
        <f>IFERROR(VLOOKUP(ROWS($O$39:U88),'SelloutPlan v1Main'!$E$5:$AC$208,16,FALSE),"")</f>
        <v/>
      </c>
      <c r="V89" s="28" t="str">
        <f>IFERROR(IF(_xlfn.XLOOKUP(ROWS($O$39:W89), 'SelloutPlan v1Main'!$E$5:$E$208, 'SelloutPlan v1Main'!$X$5:$X$208) = 0, "", _xlfn.XLOOKUP(ROWS($O$39:W89), 'SelloutPlan v1Main'!$E$5:$E$208, 'SelloutPlan v1Main'!$X$5:$X$208)), "")</f>
        <v/>
      </c>
      <c r="W89" s="28" t="str">
        <f>IFERROR(IF(VLOOKUP(ROWS($O$39:X88), 'SelloutPlan v1Main'!$E$5:$AP$209, 25, FALSE) = 0, "", VLOOKUP(ROWS($O$39:X88), 'SelloutPlan v1Main'!$E$5:$AP$209, 25, FALSE)), "")</f>
        <v/>
      </c>
    </row>
    <row r="90" spans="2:30" ht="25.5" customHeight="1" x14ac:dyDescent="0.45">
      <c r="B90" s="15">
        <v>51</v>
      </c>
      <c r="C90" s="17" t="str">
        <f>IFERROR(VLOOKUP(ROWS($C$39:C89), 'SelloutPlan v1Main'!$D$5:$AC$208,12, FALSE), "")</f>
        <v/>
      </c>
      <c r="D90" s="17" t="str">
        <f>IFERROR(VLOOKUP(ROWS($C$39:D89), 'SelloutPlan v1Main'!$D$5:$AC$208,11, FALSE), "")</f>
        <v/>
      </c>
      <c r="E90" s="17" t="str">
        <f>IFERROR(VLOOKUP(ROWS($C$39:E89), 'SelloutPlan v1Main'!$D$5:$AC$208,9, FALSE), "")</f>
        <v/>
      </c>
      <c r="F90" s="36" t="str">
        <f>IFERROR(VLOOKUP(ROWS($C$39:F89), 'SelloutPlan v1Main'!$D$5:$AC$208,7, FALSE), "")</f>
        <v/>
      </c>
      <c r="G90" s="91" t="str">
        <f>IFERROR(VLOOKUP(ROWS($C$39:G89), 'SelloutPlan v1Main'!$D$5:$AC$208,16, FALSE), "")</f>
        <v/>
      </c>
      <c r="H90" s="123" t="str">
        <f>IFERROR(VLOOKUP(ROWS($C$39:G89), 'SelloutPlan v1Main'!$D$5:$AC$208,17, FALSE), "")</f>
        <v/>
      </c>
      <c r="I90" s="37" t="str">
        <f>IFERROR(VLOOKUP(ROWS($C$39:H89), 'SelloutPlan v1Main'!$D$5:$AC$208,3, FALSE), "")</f>
        <v/>
      </c>
      <c r="J90" s="37" t="str">
        <f>IFERROR(VLOOKUP(ROWS($C$39:I89), 'SelloutPlan v1Main'!$D$5:$AC$208,10, FALSE), "")</f>
        <v/>
      </c>
      <c r="K90" s="37" t="str">
        <f>IFERROR(VLOOKUP(ROWS($C$39:J89), 'SelloutPlan v1Main'!$D$5:$AC$208,14, FALSE), "")</f>
        <v/>
      </c>
      <c r="L90" s="51" t="str">
        <f>IFERROR(VLOOKUP(ROWS($C$39:K89), 'SelloutPlan v1Main'!$D$5:$AC$208,10, FALSE), "")</f>
        <v/>
      </c>
      <c r="O90" s="27" t="str">
        <f>IFERROR(IF(VLOOKUP(ROWS($O$39:$O89), 'SelloutPlan v1Main'!$D$5:$AC$499, 12, FALSE)="Open", VLOOKUP(ROWS($O$39:$O89), 'SelloutPlan v1Main'!$D$5:$AC$499, 3, FALSE), ""), "")</f>
        <v/>
      </c>
      <c r="P90" s="31" t="str">
        <f>IFERROR(VLOOKUP(ROWS($O$39:U89),'SelloutPlan v1Main'!$E$5:$AC$208,12,FALSE),"")</f>
        <v/>
      </c>
      <c r="Q90" s="82" t="str">
        <f>IFERROR(VLOOKUP(ROWS($O$39:V89),'SelloutPlan v1Main'!$E$5:$AC$208,13,FALSE),"")</f>
        <v/>
      </c>
      <c r="R90" s="28" t="str">
        <f>IFERROR(VLOOKUP(ROWS($O$39:U89),'SelloutPlan v1Main'!$E$5:$AC$208,5,FALSE),"")</f>
        <v/>
      </c>
      <c r="S90" s="40" t="str">
        <f>IFERROR(VLOOKUP(ROWS($O$39:S89), 'SelloutPlan v1Main'!$E$5:$AC$208, 14, FALSE), "")</f>
        <v/>
      </c>
      <c r="T90" s="27" t="str">
        <f>IFERROR(VLOOKUP(ROWS($O$39:T89), 'SelloutPlan v1Main'!$E$5:$AC$208, 14, FALSE), "")</f>
        <v/>
      </c>
      <c r="U90" s="83" t="str">
        <f>IFERROR(VLOOKUP(ROWS($O$39:U89),'SelloutPlan v1Main'!$E$5:$AC$208,16,FALSE),"")</f>
        <v/>
      </c>
      <c r="V90" s="28" t="str">
        <f>IFERROR(IF(_xlfn.XLOOKUP(ROWS($O$39:W90), 'SelloutPlan v1Main'!$E$5:$E$208, 'SelloutPlan v1Main'!$X$5:$X$208) = 0, "", _xlfn.XLOOKUP(ROWS($O$39:W90), 'SelloutPlan v1Main'!$E$5:$E$208, 'SelloutPlan v1Main'!$X$5:$X$208)), "")</f>
        <v/>
      </c>
      <c r="W90" s="28" t="str">
        <f>IFERROR(IF(VLOOKUP(ROWS($O$39:X89), 'SelloutPlan v1Main'!$E$5:$AP$209, 25, FALSE) = 0, "", VLOOKUP(ROWS($O$39:X89), 'SelloutPlan v1Main'!$E$5:$AP$209, 25, FALSE)), "")</f>
        <v/>
      </c>
    </row>
    <row r="91" spans="2:30" ht="25.5" customHeight="1" x14ac:dyDescent="0.45">
      <c r="B91" s="15">
        <v>52</v>
      </c>
      <c r="C91" s="17" t="str">
        <f>IFERROR(VLOOKUP(ROWS($C$39:C90), 'SelloutPlan v1Main'!$D$5:$AC$208,12, FALSE), "")</f>
        <v/>
      </c>
      <c r="D91" s="17" t="str">
        <f>IFERROR(VLOOKUP(ROWS($C$39:D90), 'SelloutPlan v1Main'!$D$5:$AC$208,11, FALSE), "")</f>
        <v/>
      </c>
      <c r="E91" s="17" t="str">
        <f>IFERROR(VLOOKUP(ROWS($C$39:E90), 'SelloutPlan v1Main'!$D$5:$AC$208,9, FALSE), "")</f>
        <v/>
      </c>
      <c r="F91" s="36" t="str">
        <f>IFERROR(VLOOKUP(ROWS($C$39:F90), 'SelloutPlan v1Main'!$D$5:$AC$208,7, FALSE), "")</f>
        <v/>
      </c>
      <c r="G91" s="91" t="str">
        <f>IFERROR(VLOOKUP(ROWS($C$39:G90), 'SelloutPlan v1Main'!$D$5:$AC$208,16, FALSE), "")</f>
        <v/>
      </c>
      <c r="H91" s="123" t="str">
        <f>IFERROR(VLOOKUP(ROWS($C$39:G90), 'SelloutPlan v1Main'!$D$5:$AC$208,17, FALSE), "")</f>
        <v/>
      </c>
      <c r="I91" s="37" t="str">
        <f>IFERROR(VLOOKUP(ROWS($C$39:H90), 'SelloutPlan v1Main'!$D$5:$AC$208,3, FALSE), "")</f>
        <v/>
      </c>
      <c r="J91" s="37" t="str">
        <f>IFERROR(VLOOKUP(ROWS($C$39:I90), 'SelloutPlan v1Main'!$D$5:$AC$208,10, FALSE), "")</f>
        <v/>
      </c>
      <c r="K91" s="37" t="str">
        <f>IFERROR(VLOOKUP(ROWS($C$39:J90), 'SelloutPlan v1Main'!$D$5:$AC$208,14, FALSE), "")</f>
        <v/>
      </c>
      <c r="L91" s="51" t="str">
        <f>IFERROR(VLOOKUP(ROWS($C$39:K90), 'SelloutPlan v1Main'!$D$5:$AC$208,10, FALSE), "")</f>
        <v/>
      </c>
      <c r="O91" s="27" t="str">
        <f>IFERROR(IF(VLOOKUP(ROWS($O$39:$O90), 'SelloutPlan v1Main'!$D$5:$AC$499, 12, FALSE)="Open", VLOOKUP(ROWS($O$39:$O90), 'SelloutPlan v1Main'!$D$5:$AC$499, 3, FALSE), ""), "")</f>
        <v/>
      </c>
      <c r="P91" s="31" t="str">
        <f>IFERROR(VLOOKUP(ROWS($O$39:U90),'SelloutPlan v1Main'!$E$5:$AC$208,12,FALSE),"")</f>
        <v/>
      </c>
      <c r="Q91" s="82" t="str">
        <f>IFERROR(VLOOKUP(ROWS($O$39:V90),'SelloutPlan v1Main'!$E$5:$AC$208,13,FALSE),"")</f>
        <v/>
      </c>
      <c r="R91" s="28" t="str">
        <f>IFERROR(VLOOKUP(ROWS($O$39:U90),'SelloutPlan v1Main'!$E$5:$AC$208,5,FALSE),"")</f>
        <v/>
      </c>
      <c r="S91" s="40" t="str">
        <f>IFERROR(VLOOKUP(ROWS($O$39:S90), 'SelloutPlan v1Main'!$E$5:$AC$208, 14, FALSE), "")</f>
        <v/>
      </c>
      <c r="T91" s="27" t="str">
        <f>IFERROR(VLOOKUP(ROWS($O$39:T90), 'SelloutPlan v1Main'!$E$5:$AC$208, 14, FALSE), "")</f>
        <v/>
      </c>
      <c r="U91" s="83" t="str">
        <f>IFERROR(VLOOKUP(ROWS($O$39:U90),'SelloutPlan v1Main'!$E$5:$AC$208,16,FALSE),"")</f>
        <v/>
      </c>
      <c r="V91" s="28" t="str">
        <f>IFERROR(IF(_xlfn.XLOOKUP(ROWS($O$39:W91), 'SelloutPlan v1Main'!$E$5:$E$208, 'SelloutPlan v1Main'!$X$5:$X$208) = 0, "", _xlfn.XLOOKUP(ROWS($O$39:W91), 'SelloutPlan v1Main'!$E$5:$E$208, 'SelloutPlan v1Main'!$X$5:$X$208)), "")</f>
        <v/>
      </c>
      <c r="W91" s="28" t="str">
        <f>IFERROR(IF(VLOOKUP(ROWS($O$39:X90), 'SelloutPlan v1Main'!$E$5:$AP$209, 25, FALSE) = 0, "", VLOOKUP(ROWS($O$39:X90), 'SelloutPlan v1Main'!$E$5:$AP$209, 25, FALSE)), "")</f>
        <v/>
      </c>
    </row>
    <row r="92" spans="2:30" ht="25.5" customHeight="1" x14ac:dyDescent="0.45">
      <c r="B92" s="15">
        <v>53</v>
      </c>
      <c r="C92" s="17" t="str">
        <f>IFERROR(VLOOKUP(ROWS($C$39:C91), 'SelloutPlan v1Main'!$D$5:$AC$208,12, FALSE), "")</f>
        <v/>
      </c>
      <c r="D92" s="17" t="str">
        <f>IFERROR(VLOOKUP(ROWS($C$39:D91), 'SelloutPlan v1Main'!$D$5:$AC$208,11, FALSE), "")</f>
        <v/>
      </c>
      <c r="E92" s="17" t="str">
        <f>IFERROR(VLOOKUP(ROWS($C$39:E91), 'SelloutPlan v1Main'!$D$5:$AC$208,9, FALSE), "")</f>
        <v/>
      </c>
      <c r="F92" s="36" t="str">
        <f>IFERROR(VLOOKUP(ROWS($C$39:F91), 'SelloutPlan v1Main'!$D$5:$AC$208,7, FALSE), "")</f>
        <v/>
      </c>
      <c r="G92" s="91" t="str">
        <f>IFERROR(VLOOKUP(ROWS($C$39:G91), 'SelloutPlan v1Main'!$D$5:$AC$208,16, FALSE), "")</f>
        <v/>
      </c>
      <c r="H92" s="123" t="str">
        <f>IFERROR(VLOOKUP(ROWS($C$39:G91), 'SelloutPlan v1Main'!$D$5:$AC$208,17, FALSE), "")</f>
        <v/>
      </c>
      <c r="I92" s="37" t="str">
        <f>IFERROR(VLOOKUP(ROWS($C$39:H91), 'SelloutPlan v1Main'!$D$5:$AC$208,3, FALSE), "")</f>
        <v/>
      </c>
      <c r="J92" s="37" t="str">
        <f>IFERROR(VLOOKUP(ROWS($C$39:I91), 'SelloutPlan v1Main'!$D$5:$AC$208,10, FALSE), "")</f>
        <v/>
      </c>
      <c r="K92" s="37" t="str">
        <f>IFERROR(VLOOKUP(ROWS($C$39:J91), 'SelloutPlan v1Main'!$D$5:$AC$208,14, FALSE), "")</f>
        <v/>
      </c>
      <c r="L92" s="51" t="str">
        <f>IFERROR(VLOOKUP(ROWS($C$39:K91), 'SelloutPlan v1Main'!$D$5:$AC$208,10, FALSE), "")</f>
        <v/>
      </c>
      <c r="O92" s="27" t="str">
        <f>IFERROR(IF(VLOOKUP(ROWS($O$39:$O91), 'SelloutPlan v1Main'!$D$5:$AC$499, 12, FALSE)="Open", VLOOKUP(ROWS($O$39:$O91), 'SelloutPlan v1Main'!$D$5:$AC$499, 3, FALSE), ""), "")</f>
        <v/>
      </c>
      <c r="P92" s="31" t="str">
        <f>IFERROR(VLOOKUP(ROWS($O$39:U91),'SelloutPlan v1Main'!$E$5:$AC$208,12,FALSE),"")</f>
        <v/>
      </c>
      <c r="Q92" s="31"/>
      <c r="R92" s="28" t="str">
        <f>IFERROR(VLOOKUP(ROWS($O$39:U91),'SelloutPlan v1Main'!$E$5:$AC$208,5,FALSE),"")</f>
        <v/>
      </c>
      <c r="S92" s="40" t="str">
        <f>IFERROR(VLOOKUP(ROWS($O$39:S91), 'SelloutPlan v1Main'!$E$5:$AC$208, 14, FALSE), "")</f>
        <v/>
      </c>
      <c r="T92" s="27" t="str">
        <f>IFERROR(VLOOKUP(ROWS($O$39:T91), 'SelloutPlan v1Main'!$E$5:$AC$208, 14, FALSE), "")</f>
        <v/>
      </c>
      <c r="U92" s="83" t="str">
        <f>IFERROR(VLOOKUP(ROWS($O$39:U91),'SelloutPlan v1Main'!$E$5:$AC$208,16,FALSE),"")</f>
        <v/>
      </c>
      <c r="V92" s="28" t="str">
        <f>IFERROR(IF(_xlfn.XLOOKUP(ROWS($O$39:W92), 'SelloutPlan v1Main'!$E$5:$E$208, 'SelloutPlan v1Main'!$X$5:$X$208) = 0, "", _xlfn.XLOOKUP(ROWS($O$39:W92), 'SelloutPlan v1Main'!$E$5:$E$208, 'SelloutPlan v1Main'!$X$5:$X$208)), "")</f>
        <v/>
      </c>
      <c r="W92" s="28" t="str">
        <f>IFERROR(IF(VLOOKUP(ROWS($O$39:X91), 'SelloutPlan v1Main'!$E$5:$AP$209, 25, FALSE) = 0, "", VLOOKUP(ROWS($O$39:X91), 'SelloutPlan v1Main'!$E$5:$AP$209, 25, FALSE)), "")</f>
        <v/>
      </c>
    </row>
    <row r="93" spans="2:30" ht="25.5" customHeight="1" x14ac:dyDescent="0.45">
      <c r="B93" s="15">
        <v>54</v>
      </c>
      <c r="C93" s="17" t="str">
        <f>IFERROR(VLOOKUP(ROWS($C$39:C92), 'SelloutPlan v1Main'!$D$5:$AC$208,12, FALSE), "")</f>
        <v/>
      </c>
      <c r="D93" s="17" t="str">
        <f>IFERROR(VLOOKUP(ROWS($C$39:D92), 'SelloutPlan v1Main'!$D$5:$AC$208,11, FALSE), "")</f>
        <v/>
      </c>
      <c r="E93" s="17" t="str">
        <f>IFERROR(VLOOKUP(ROWS($C$39:E92), 'SelloutPlan v1Main'!$D$5:$AC$208,9, FALSE), "")</f>
        <v/>
      </c>
      <c r="F93" s="36" t="str">
        <f>IFERROR(VLOOKUP(ROWS($C$39:F92), 'SelloutPlan v1Main'!$D$5:$AC$208,7, FALSE), "")</f>
        <v/>
      </c>
      <c r="G93" s="91" t="str">
        <f>IFERROR(VLOOKUP(ROWS($C$39:G92), 'SelloutPlan v1Main'!$D$5:$AC$208,16, FALSE), "")</f>
        <v/>
      </c>
      <c r="H93" s="92" t="str">
        <f>IFERROR(VLOOKUP(ROWS($C$39:G92), 'SelloutPlan v1Main'!$D$5:$AC$208,22, FALSE), "")</f>
        <v/>
      </c>
      <c r="I93" s="37" t="str">
        <f>IFERROR(VLOOKUP(ROWS($C$39:H92), 'SelloutPlan v1Main'!$D$5:$AC$208,3, FALSE), "")</f>
        <v/>
      </c>
      <c r="J93" s="37" t="str">
        <f>IFERROR(VLOOKUP(ROWS($C$39:I92), 'SelloutPlan v1Main'!$D$5:$AC$208,10, FALSE), "")</f>
        <v/>
      </c>
      <c r="K93" s="37" t="str">
        <f>IFERROR(VLOOKUP(ROWS($C$39:J92), 'SelloutPlan v1Main'!$D$5:$AC$208,14, FALSE), "")</f>
        <v/>
      </c>
      <c r="L93" s="51" t="str">
        <f>IFERROR(VLOOKUP(ROWS($C$39:K92), 'SelloutPlan v1Main'!$D$5:$AC$208,10, FALSE), "")</f>
        <v/>
      </c>
      <c r="O93" s="27" t="str">
        <f>IFERROR(IF(VLOOKUP(ROWS($O$39:$O92), 'SelloutPlan v1Main'!$D$5:$AC$499, 12, FALSE)="Open", VLOOKUP(ROWS($O$39:$O92), 'SelloutPlan v1Main'!$D$5:$AC$499, 3, FALSE), ""), "")</f>
        <v/>
      </c>
      <c r="P93" s="31" t="str">
        <f>IFERROR(VLOOKUP(ROWS($O$39:U92),'SelloutPlan v1Main'!$E$5:$AC$208,12,FALSE),"")</f>
        <v/>
      </c>
      <c r="Q93" s="31"/>
      <c r="R93" s="28" t="str">
        <f>IFERROR(VLOOKUP(ROWS($O$39:U92),'SelloutPlan v1Main'!$E$5:$AC$208,5,FALSE),"")</f>
        <v/>
      </c>
      <c r="S93" s="40" t="str">
        <f>IFERROR(VLOOKUP(ROWS($O$39:S92), 'SelloutPlan v1Main'!$E$5:$AC$208, 14, FALSE), "")</f>
        <v/>
      </c>
      <c r="T93" s="27" t="str">
        <f>IFERROR(VLOOKUP(ROWS($O$39:T92), 'SelloutPlan v1Main'!$E$5:$AC$208, 14, FALSE), "")</f>
        <v/>
      </c>
      <c r="U93" s="83" t="str">
        <f>IFERROR(VLOOKUP(ROWS($O$39:U92),'SelloutPlan v1Main'!$E$5:$AC$208,16,FALSE),"")</f>
        <v/>
      </c>
      <c r="V93" s="28" t="str">
        <f>IFERROR(IF(_xlfn.XLOOKUP(ROWS($O$39:W93), 'SelloutPlan v1Main'!$E$5:$E$208, 'SelloutPlan v1Main'!$X$5:$X$208) = 0, "", _xlfn.XLOOKUP(ROWS($O$39:W93), 'SelloutPlan v1Main'!$E$5:$E$208, 'SelloutPlan v1Main'!$X$5:$X$208)), "")</f>
        <v/>
      </c>
      <c r="W93" s="28" t="str">
        <f>IFERROR(IF(VLOOKUP(ROWS($O$39:X92), 'SelloutPlan v1Main'!$E$5:$AP$209, 25, FALSE) = 0, "", VLOOKUP(ROWS($O$39:X92), 'SelloutPlan v1Main'!$E$5:$AP$209, 25, FALSE)), "")</f>
        <v/>
      </c>
    </row>
    <row r="94" spans="2:30" ht="25.5" customHeight="1" x14ac:dyDescent="0.45">
      <c r="B94" s="15">
        <v>55</v>
      </c>
      <c r="C94" s="17" t="str">
        <f>IFERROR(VLOOKUP(ROWS($C$39:C93), 'SelloutPlan v1Main'!$D$5:$AC$208,12, FALSE), "")</f>
        <v/>
      </c>
      <c r="D94" s="17" t="str">
        <f>IFERROR(VLOOKUP(ROWS($C$39:D93), 'SelloutPlan v1Main'!$D$5:$AC$208,11, FALSE), "")</f>
        <v/>
      </c>
      <c r="E94" s="17" t="str">
        <f>IFERROR(VLOOKUP(ROWS($C$39:E93), 'SelloutPlan v1Main'!$D$5:$AC$208,9, FALSE), "")</f>
        <v/>
      </c>
      <c r="F94" s="36" t="str">
        <f>IFERROR(VLOOKUP(ROWS($C$39:F93), 'SelloutPlan v1Main'!$D$5:$AC$208,7, FALSE), "")</f>
        <v/>
      </c>
      <c r="G94" s="91" t="str">
        <f>IFERROR(VLOOKUP(ROWS($C$39:G93), 'SelloutPlan v1Main'!$D$5:$AC$208,16, FALSE), "")</f>
        <v/>
      </c>
      <c r="H94" s="92" t="str">
        <f>IFERROR(VLOOKUP(ROWS($C$39:G93), 'SelloutPlan v1Main'!$D$5:$AC$208,22, FALSE), "")</f>
        <v/>
      </c>
      <c r="I94" s="37" t="str">
        <f>IFERROR(VLOOKUP(ROWS($C$39:H93), 'SelloutPlan v1Main'!$D$5:$AC$208,3, FALSE), "")</f>
        <v/>
      </c>
      <c r="J94" s="37" t="str">
        <f>IFERROR(VLOOKUP(ROWS($C$39:I93), 'SelloutPlan v1Main'!$D$5:$AC$208,10, FALSE), "")</f>
        <v/>
      </c>
      <c r="K94" s="37" t="str">
        <f>IFERROR(VLOOKUP(ROWS($C$39:J93), 'SelloutPlan v1Main'!$D$5:$AC$208,14, FALSE), "")</f>
        <v/>
      </c>
      <c r="L94" s="51" t="str">
        <f>IFERROR(VLOOKUP(ROWS($C$39:K93), 'SelloutPlan v1Main'!$D$5:$AC$208,10, FALSE), "")</f>
        <v/>
      </c>
      <c r="O94" s="27" t="str">
        <f>IFERROR(IF(VLOOKUP(ROWS($O$39:$O93), 'SelloutPlan v1Main'!$D$5:$AC$499, 12, FALSE)="Open", VLOOKUP(ROWS($O$39:$O93), 'SelloutPlan v1Main'!$D$5:$AC$499, 3, FALSE), ""), "")</f>
        <v/>
      </c>
      <c r="P94" s="31" t="str">
        <f>IFERROR(VLOOKUP(ROWS($O$39:U93),'SelloutPlan v1Main'!$E$5:$AC$208,12,FALSE),"")</f>
        <v/>
      </c>
      <c r="Q94" s="31"/>
      <c r="R94" s="28" t="str">
        <f>IFERROR(VLOOKUP(ROWS($O$39:U93),'SelloutPlan v1Main'!$E$5:$AC$208,5,FALSE),"")</f>
        <v/>
      </c>
      <c r="S94" s="40" t="str">
        <f>IFERROR(VLOOKUP(ROWS($O$39:S93), 'SelloutPlan v1Main'!$E$5:$AC$208, 14, FALSE), "")</f>
        <v/>
      </c>
      <c r="T94" s="27" t="str">
        <f>IFERROR(VLOOKUP(ROWS($O$39:T93), 'SelloutPlan v1Main'!$E$5:$AC$208, 14, FALSE), "")</f>
        <v/>
      </c>
      <c r="U94" s="83" t="str">
        <f>IFERROR(VLOOKUP(ROWS($O$39:U93),'SelloutPlan v1Main'!$E$5:$AC$208,16,FALSE),"")</f>
        <v/>
      </c>
      <c r="V94" s="28" t="str">
        <f>IFERROR(IF(_xlfn.XLOOKUP(ROWS($O$39:W94), 'SelloutPlan v1Main'!$E$5:$E$208, 'SelloutPlan v1Main'!$X$5:$X$208) = 0, "", _xlfn.XLOOKUP(ROWS($O$39:W94), 'SelloutPlan v1Main'!$E$5:$E$208, 'SelloutPlan v1Main'!$X$5:$X$208)), "")</f>
        <v/>
      </c>
      <c r="W94" s="28" t="str">
        <f>IFERROR(IF(VLOOKUP(ROWS($O$39:X93), 'SelloutPlan v1Main'!$E$5:$AP$209, 25, FALSE) = 0, "", VLOOKUP(ROWS($O$39:X93), 'SelloutPlan v1Main'!$E$5:$AP$209, 25, FALSE)), "")</f>
        <v/>
      </c>
    </row>
    <row r="95" spans="2:30" ht="25.5" customHeight="1" x14ac:dyDescent="0.45">
      <c r="B95" s="15">
        <v>56</v>
      </c>
      <c r="C95" s="17" t="str">
        <f>IFERROR(VLOOKUP(ROWS($C$39:C94), 'SelloutPlan v1Main'!$D$5:$AC$208,12, FALSE), "")</f>
        <v/>
      </c>
      <c r="D95" s="17" t="str">
        <f>IFERROR(VLOOKUP(ROWS($C$39:D94), 'SelloutPlan v1Main'!$D$5:$AC$208,11, FALSE), "")</f>
        <v/>
      </c>
      <c r="E95" s="17" t="str">
        <f>IFERROR(VLOOKUP(ROWS($C$39:E94), 'SelloutPlan v1Main'!$D$5:$AC$208,9, FALSE), "")</f>
        <v/>
      </c>
      <c r="F95" s="36" t="str">
        <f>IFERROR(VLOOKUP(ROWS($C$39:F94), 'SelloutPlan v1Main'!$D$5:$AC$208,7, FALSE), "")</f>
        <v/>
      </c>
      <c r="G95" s="91" t="str">
        <f>IFERROR(VLOOKUP(ROWS($C$39:G94), 'SelloutPlan v1Main'!$D$5:$AC$208,16, FALSE), "")</f>
        <v/>
      </c>
      <c r="H95" s="92" t="str">
        <f>IFERROR(VLOOKUP(ROWS($C$39:G94), 'SelloutPlan v1Main'!$D$5:$AC$208,22, FALSE), "")</f>
        <v/>
      </c>
      <c r="I95" s="37" t="str">
        <f>IFERROR(VLOOKUP(ROWS($C$39:H94), 'SelloutPlan v1Main'!$D$5:$AC$208,3, FALSE), "")</f>
        <v/>
      </c>
      <c r="J95" s="37" t="str">
        <f>IFERROR(VLOOKUP(ROWS($C$39:I94), 'SelloutPlan v1Main'!$D$5:$AC$208,10, FALSE), "")</f>
        <v/>
      </c>
      <c r="K95" s="37" t="str">
        <f>IFERROR(VLOOKUP(ROWS($C$39:J94), 'SelloutPlan v1Main'!$D$5:$AC$208,14, FALSE), "")</f>
        <v/>
      </c>
      <c r="L95" s="51" t="str">
        <f>IFERROR(VLOOKUP(ROWS($C$39:K94), 'SelloutPlan v1Main'!$D$5:$AC$208,10, FALSE), "")</f>
        <v/>
      </c>
      <c r="O95" s="27" t="str">
        <f>IFERROR(IF(VLOOKUP(ROWS($O$39:$O94), 'SelloutPlan v1Main'!$D$5:$AC$499, 12, FALSE)="Open", VLOOKUP(ROWS($O$39:$O94), 'SelloutPlan v1Main'!$D$5:$AC$499, 3, FALSE), ""), "")</f>
        <v/>
      </c>
      <c r="P95" s="31" t="str">
        <f>IFERROR(VLOOKUP(ROWS($O$39:U94),'SelloutPlan v1Main'!$E$5:$AC$208,12,FALSE),"")</f>
        <v/>
      </c>
      <c r="Q95" s="31"/>
      <c r="R95" s="28" t="str">
        <f>IFERROR(VLOOKUP(ROWS($O$39:U94),'SelloutPlan v1Main'!$E$5:$AC$208,5,FALSE),"")</f>
        <v/>
      </c>
      <c r="S95" s="40" t="str">
        <f>IFERROR(VLOOKUP(ROWS($O$39:S94), 'SelloutPlan v1Main'!$E$5:$AC$208, 14, FALSE), "")</f>
        <v/>
      </c>
      <c r="T95" s="27" t="str">
        <f>IFERROR(VLOOKUP(ROWS($O$39:T94), 'SelloutPlan v1Main'!$E$5:$AC$208, 14, FALSE), "")</f>
        <v/>
      </c>
      <c r="U95" s="83" t="str">
        <f>IFERROR(VLOOKUP(ROWS($O$39:U94),'SelloutPlan v1Main'!$E$5:$AC$208,16,FALSE),"")</f>
        <v/>
      </c>
      <c r="V95" s="28" t="str">
        <f>IFERROR(IF(_xlfn.XLOOKUP(ROWS($O$39:W95), 'SelloutPlan v1Main'!$E$5:$E$208, 'SelloutPlan v1Main'!$X$5:$X$208) = 0, "", _xlfn.XLOOKUP(ROWS($O$39:W95), 'SelloutPlan v1Main'!$E$5:$E$208, 'SelloutPlan v1Main'!$X$5:$X$208)), "")</f>
        <v/>
      </c>
      <c r="W95" s="28" t="str">
        <f>IFERROR(IF(VLOOKUP(ROWS($O$39:X94), 'SelloutPlan v1Main'!$E$5:$AP$209, 25, FALSE) = 0, "", VLOOKUP(ROWS($O$39:X94), 'SelloutPlan v1Main'!$E$5:$AP$209, 25, FALSE)), "")</f>
        <v/>
      </c>
    </row>
    <row r="96" spans="2:30" ht="25.5" customHeight="1" x14ac:dyDescent="0.45">
      <c r="B96" s="15">
        <v>57</v>
      </c>
      <c r="C96" s="17" t="str">
        <f>IFERROR(VLOOKUP(ROWS($C$39:C95), 'SelloutPlan v1Main'!$D$5:$AC$208,12, FALSE), "")</f>
        <v/>
      </c>
      <c r="D96" s="17" t="str">
        <f>IFERROR(VLOOKUP(ROWS($C$39:D95), 'SelloutPlan v1Main'!$D$5:$AC$208,11, FALSE), "")</f>
        <v/>
      </c>
      <c r="E96" s="17" t="str">
        <f>IFERROR(VLOOKUP(ROWS($C$39:E95), 'SelloutPlan v1Main'!$D$5:$AC$208,9, FALSE), "")</f>
        <v/>
      </c>
      <c r="F96" s="36" t="str">
        <f>IFERROR(VLOOKUP(ROWS($C$39:F95), 'SelloutPlan v1Main'!$D$5:$AC$208,7, FALSE), "")</f>
        <v/>
      </c>
      <c r="G96" s="91" t="str">
        <f>IFERROR(VLOOKUP(ROWS($C$39:G95), 'SelloutPlan v1Main'!$D$5:$AC$208,16, FALSE), "")</f>
        <v/>
      </c>
      <c r="H96" s="92" t="str">
        <f>IFERROR(VLOOKUP(ROWS($C$39:G95), 'SelloutPlan v1Main'!$D$5:$AC$208,22, FALSE), "")</f>
        <v/>
      </c>
      <c r="I96" s="37" t="str">
        <f>IFERROR(VLOOKUP(ROWS($C$39:H95), 'SelloutPlan v1Main'!$D$5:$AC$208,3, FALSE), "")</f>
        <v/>
      </c>
      <c r="J96" s="37" t="str">
        <f>IFERROR(VLOOKUP(ROWS($C$39:I95), 'SelloutPlan v1Main'!$D$5:$AC$208,10, FALSE), "")</f>
        <v/>
      </c>
      <c r="K96" s="37" t="str">
        <f>IFERROR(VLOOKUP(ROWS($C$39:J95), 'SelloutPlan v1Main'!$D$5:$AC$208,14, FALSE), "")</f>
        <v/>
      </c>
      <c r="L96" s="51" t="str">
        <f>IFERROR(VLOOKUP(ROWS($C$39:K95), 'SelloutPlan v1Main'!$D$5:$AC$208,10, FALSE), "")</f>
        <v/>
      </c>
      <c r="O96" s="27" t="str">
        <f>IFERROR(IF(VLOOKUP(ROWS($O$39:$O95), 'SelloutPlan v1Main'!$D$5:$AC$499, 12, FALSE)="Open", VLOOKUP(ROWS($O$39:$O95), 'SelloutPlan v1Main'!$D$5:$AC$499, 3, FALSE), ""), "")</f>
        <v/>
      </c>
      <c r="P96" s="31" t="str">
        <f>IFERROR(VLOOKUP(ROWS($O$39:U95),'SelloutPlan v1Main'!$E$5:$AC$208,12,FALSE),"")</f>
        <v/>
      </c>
      <c r="Q96" s="31"/>
      <c r="R96" s="28" t="str">
        <f>IFERROR(VLOOKUP(ROWS($O$39:U95),'SelloutPlan v1Main'!$E$5:$AC$208,5,FALSE),"")</f>
        <v/>
      </c>
      <c r="S96" s="40" t="str">
        <f>IFERROR(VLOOKUP(ROWS($O$39:S95), 'SelloutPlan v1Main'!$E$5:$AC$208, 14, FALSE), "")</f>
        <v/>
      </c>
      <c r="T96" s="27" t="str">
        <f>IFERROR(VLOOKUP(ROWS($O$39:T95), 'SelloutPlan v1Main'!$E$5:$AC$208, 14, FALSE), "")</f>
        <v/>
      </c>
      <c r="U96" s="83" t="str">
        <f>IFERROR(VLOOKUP(ROWS($O$39:U95),'SelloutPlan v1Main'!$E$5:$AC$208,16,FALSE),"")</f>
        <v/>
      </c>
      <c r="V96" s="28" t="str">
        <f>IFERROR(IF(_xlfn.XLOOKUP(ROWS($O$39:W96), 'SelloutPlan v1Main'!$E$5:$E$208, 'SelloutPlan v1Main'!$X$5:$X$208) = 0, "", _xlfn.XLOOKUP(ROWS($O$39:W96), 'SelloutPlan v1Main'!$E$5:$E$208, 'SelloutPlan v1Main'!$X$5:$X$208)), "")</f>
        <v/>
      </c>
      <c r="W96" s="28" t="str">
        <f>IFERROR(IF(VLOOKUP(ROWS($O$39:X95), 'SelloutPlan v1Main'!$E$5:$AP$209, 25, FALSE) = 0, "", VLOOKUP(ROWS($O$39:X95), 'SelloutPlan v1Main'!$E$5:$AP$209, 25, FALSE)), "")</f>
        <v/>
      </c>
    </row>
    <row r="97" spans="2:23" ht="25.5" customHeight="1" x14ac:dyDescent="0.45">
      <c r="B97" s="15">
        <v>58</v>
      </c>
      <c r="C97" s="17" t="str">
        <f>IFERROR(VLOOKUP(ROWS($C$39:C96), 'SelloutPlan v1Main'!$D$5:$AC$208,12, FALSE), "")</f>
        <v/>
      </c>
      <c r="D97" s="17" t="str">
        <f>IFERROR(VLOOKUP(ROWS($C$39:D96), 'SelloutPlan v1Main'!$D$5:$AC$208,11, FALSE), "")</f>
        <v/>
      </c>
      <c r="E97" s="17" t="str">
        <f>IFERROR(VLOOKUP(ROWS($C$39:E96), 'SelloutPlan v1Main'!$D$5:$AC$208,9, FALSE), "")</f>
        <v/>
      </c>
      <c r="F97" s="36" t="str">
        <f>IFERROR(VLOOKUP(ROWS($C$39:F96), 'SelloutPlan v1Main'!$D$5:$AC$208,7, FALSE), "")</f>
        <v/>
      </c>
      <c r="G97" s="91" t="str">
        <f>IFERROR(VLOOKUP(ROWS($C$39:G96), 'SelloutPlan v1Main'!$D$5:$AC$208,16, FALSE), "")</f>
        <v/>
      </c>
      <c r="H97" s="92" t="str">
        <f>IFERROR(VLOOKUP(ROWS($C$39:G96), 'SelloutPlan v1Main'!$D$5:$AC$208,22, FALSE), "")</f>
        <v/>
      </c>
      <c r="I97" s="37" t="str">
        <f>IFERROR(VLOOKUP(ROWS($C$39:H96), 'SelloutPlan v1Main'!$D$5:$AC$208,3, FALSE), "")</f>
        <v/>
      </c>
      <c r="J97" s="37" t="str">
        <f>IFERROR(VLOOKUP(ROWS($C$39:I96), 'SelloutPlan v1Main'!$D$5:$AC$208,10, FALSE), "")</f>
        <v/>
      </c>
      <c r="K97" s="37" t="str">
        <f>IFERROR(VLOOKUP(ROWS($C$39:J96), 'SelloutPlan v1Main'!$D$5:$AC$208,14, FALSE), "")</f>
        <v/>
      </c>
      <c r="L97" s="51" t="str">
        <f>IFERROR(VLOOKUP(ROWS($C$39:K96), 'SelloutPlan v1Main'!$D$5:$AC$208,10, FALSE), "")</f>
        <v/>
      </c>
      <c r="O97" s="27" t="str">
        <f>IFERROR(IF(VLOOKUP(ROWS($O$39:$O96), 'SelloutPlan v1Main'!$D$5:$AC$499, 12, FALSE)="Open", VLOOKUP(ROWS($O$39:$O96), 'SelloutPlan v1Main'!$D$5:$AC$499, 3, FALSE), ""), "")</f>
        <v/>
      </c>
      <c r="P97" s="31" t="str">
        <f>IFERROR(VLOOKUP(ROWS($O$39:U96),'SelloutPlan v1Main'!$E$5:$AC$208,12,FALSE),"")</f>
        <v/>
      </c>
      <c r="Q97" s="31"/>
      <c r="R97" s="28" t="str">
        <f>IFERROR(VLOOKUP(ROWS($O$39:U96),'SelloutPlan v1Main'!$E$5:$AC$208,5,FALSE),"")</f>
        <v/>
      </c>
      <c r="S97" s="40" t="str">
        <f>IFERROR(VLOOKUP(ROWS($O$39:S96), 'SelloutPlan v1Main'!$E$5:$AC$208, 14, FALSE), "")</f>
        <v/>
      </c>
      <c r="T97" s="27" t="str">
        <f>IFERROR(VLOOKUP(ROWS($O$39:T96), 'SelloutPlan v1Main'!$E$5:$AC$208, 14, FALSE), "")</f>
        <v/>
      </c>
      <c r="U97" s="83" t="str">
        <f>IFERROR(VLOOKUP(ROWS($O$39:U96),'SelloutPlan v1Main'!$E$5:$AC$208,16,FALSE),"")</f>
        <v/>
      </c>
      <c r="V97" s="28" t="str">
        <f>IFERROR(IF(_xlfn.XLOOKUP(ROWS($O$39:W97), 'SelloutPlan v1Main'!$E$5:$E$208, 'SelloutPlan v1Main'!$X$5:$X$208) = 0, "", _xlfn.XLOOKUP(ROWS($O$39:W97), 'SelloutPlan v1Main'!$E$5:$E$208, 'SelloutPlan v1Main'!$X$5:$X$208)), "")</f>
        <v/>
      </c>
      <c r="W97" s="28" t="str">
        <f>IFERROR(IF(VLOOKUP(ROWS($O$39:X96), 'SelloutPlan v1Main'!$E$5:$AP$209, 25, FALSE) = 0, "", VLOOKUP(ROWS($O$39:X96), 'SelloutPlan v1Main'!$E$5:$AP$209, 25, FALSE)), "")</f>
        <v/>
      </c>
    </row>
    <row r="98" spans="2:23" ht="25.5" customHeight="1" x14ac:dyDescent="0.45">
      <c r="B98" s="15">
        <v>59</v>
      </c>
      <c r="C98" s="17" t="str">
        <f>IFERROR(VLOOKUP(ROWS($C$39:C97), 'SelloutPlan v1Main'!$D$5:$AC$208,12, FALSE), "")</f>
        <v/>
      </c>
      <c r="D98" s="17" t="str">
        <f>IFERROR(VLOOKUP(ROWS($C$39:D97), 'SelloutPlan v1Main'!$D$5:$AC$208,11, FALSE), "")</f>
        <v/>
      </c>
      <c r="E98" s="17" t="str">
        <f>IFERROR(VLOOKUP(ROWS($C$39:E97), 'SelloutPlan v1Main'!$D$5:$AC$208,9, FALSE), "")</f>
        <v/>
      </c>
      <c r="F98" s="36" t="str">
        <f>IFERROR(VLOOKUP(ROWS($C$39:F97), 'SelloutPlan v1Main'!$D$5:$AC$208,7, FALSE), "")</f>
        <v/>
      </c>
      <c r="G98" s="91" t="str">
        <f>IFERROR(VLOOKUP(ROWS($C$39:G97), 'SelloutPlan v1Main'!$D$5:$AC$208,16, FALSE), "")</f>
        <v/>
      </c>
      <c r="H98" s="92" t="str">
        <f>IFERROR(VLOOKUP(ROWS($C$39:G97), 'SelloutPlan v1Main'!$D$5:$AC$208,22, FALSE), "")</f>
        <v/>
      </c>
      <c r="I98" s="37" t="str">
        <f>IFERROR(VLOOKUP(ROWS($C$39:H97), 'SelloutPlan v1Main'!$D$5:$AC$208,3, FALSE), "")</f>
        <v/>
      </c>
      <c r="J98" s="37" t="str">
        <f>IFERROR(VLOOKUP(ROWS($C$39:I97), 'SelloutPlan v1Main'!$D$5:$AC$208,10, FALSE), "")</f>
        <v/>
      </c>
      <c r="K98" s="37" t="str">
        <f>IFERROR(VLOOKUP(ROWS($C$39:J97), 'SelloutPlan v1Main'!$D$5:$AC$208,14, FALSE), "")</f>
        <v/>
      </c>
      <c r="L98" s="51" t="str">
        <f>IFERROR(VLOOKUP(ROWS($C$39:K97), 'SelloutPlan v1Main'!$D$5:$AC$208,10, FALSE), "")</f>
        <v/>
      </c>
      <c r="O98" s="27" t="str">
        <f>IFERROR(IF(VLOOKUP(ROWS($O$39:$O97), 'SelloutPlan v1Main'!$D$5:$AC$499, 12, FALSE)="Open", VLOOKUP(ROWS($O$39:$O97), 'SelloutPlan v1Main'!$D$5:$AC$499, 3, FALSE), ""), "")</f>
        <v/>
      </c>
      <c r="P98" s="31" t="str">
        <f>IFERROR(VLOOKUP(ROWS($O$39:U97),'SelloutPlan v1Main'!$E$5:$AC$208,12,FALSE),"")</f>
        <v/>
      </c>
      <c r="Q98" s="31"/>
      <c r="R98" s="28" t="str">
        <f>IFERROR(VLOOKUP(ROWS($O$39:U97),'SelloutPlan v1Main'!$E$5:$AC$208,5,FALSE),"")</f>
        <v/>
      </c>
      <c r="S98" s="40" t="str">
        <f>IFERROR(VLOOKUP(ROWS($O$39:S97), 'SelloutPlan v1Main'!$E$5:$AC$208, 14, FALSE), "")</f>
        <v/>
      </c>
      <c r="T98" s="27" t="str">
        <f>IFERROR(VLOOKUP(ROWS($O$39:T97), 'SelloutPlan v1Main'!$E$5:$AC$208, 14, FALSE), "")</f>
        <v/>
      </c>
      <c r="U98" s="83" t="str">
        <f>IFERROR(VLOOKUP(ROWS($O$39:U97),'SelloutPlan v1Main'!$E$5:$AC$208,16,FALSE),"")</f>
        <v/>
      </c>
      <c r="V98" s="28" t="str">
        <f>IFERROR(IF(_xlfn.XLOOKUP(ROWS($O$39:W98), 'SelloutPlan v1Main'!$E$5:$E$208, 'SelloutPlan v1Main'!$X$5:$X$208) = 0, "", _xlfn.XLOOKUP(ROWS($O$39:W98), 'SelloutPlan v1Main'!$E$5:$E$208, 'SelloutPlan v1Main'!$X$5:$X$208)), "")</f>
        <v/>
      </c>
      <c r="W98" s="28" t="str">
        <f>IFERROR(IF(VLOOKUP(ROWS($O$39:X97), 'SelloutPlan v1Main'!$E$5:$AP$209, 25, FALSE) = 0, "", VLOOKUP(ROWS($O$39:X97), 'SelloutPlan v1Main'!$E$5:$AP$209, 25, FALSE)), "")</f>
        <v/>
      </c>
    </row>
    <row r="99" spans="2:23" ht="25.5" customHeight="1" x14ac:dyDescent="0.45">
      <c r="B99" s="15">
        <v>60</v>
      </c>
      <c r="C99" s="17" t="str">
        <f>IFERROR(VLOOKUP(ROWS($C$39:C98), 'SelloutPlan v1Main'!$D$5:$AC$208,12, FALSE), "")</f>
        <v/>
      </c>
      <c r="D99" s="17" t="str">
        <f>IFERROR(VLOOKUP(ROWS($C$39:D98), 'SelloutPlan v1Main'!$D$5:$AC$208,11, FALSE), "")</f>
        <v/>
      </c>
      <c r="E99" s="17" t="str">
        <f>IFERROR(VLOOKUP(ROWS($C$39:E98), 'SelloutPlan v1Main'!$D$5:$AC$208,9, FALSE), "")</f>
        <v/>
      </c>
      <c r="F99" s="36" t="str">
        <f>IFERROR(VLOOKUP(ROWS($C$39:F98), 'SelloutPlan v1Main'!$D$5:$AC$208,7, FALSE), "")</f>
        <v/>
      </c>
      <c r="G99" s="91" t="str">
        <f>IFERROR(VLOOKUP(ROWS($C$39:G98), 'SelloutPlan v1Main'!$D$5:$AC$208,16, FALSE), "")</f>
        <v/>
      </c>
      <c r="H99" s="92" t="str">
        <f>IFERROR(VLOOKUP(ROWS($C$39:G98), 'SelloutPlan v1Main'!$D$5:$AC$208,22, FALSE), "")</f>
        <v/>
      </c>
      <c r="I99" s="37" t="str">
        <f>IFERROR(VLOOKUP(ROWS($C$39:H98), 'SelloutPlan v1Main'!$D$5:$AC$208,3, FALSE), "")</f>
        <v/>
      </c>
      <c r="J99" s="37" t="str">
        <f>IFERROR(VLOOKUP(ROWS($C$39:I98), 'SelloutPlan v1Main'!$D$5:$AC$208,10, FALSE), "")</f>
        <v/>
      </c>
      <c r="K99" s="37" t="str">
        <f>IFERROR(VLOOKUP(ROWS($C$39:J98), 'SelloutPlan v1Main'!$D$5:$AC$208,14, FALSE), "")</f>
        <v/>
      </c>
      <c r="L99" s="51" t="str">
        <f>IFERROR(VLOOKUP(ROWS($C$39:K98), 'SelloutPlan v1Main'!$D$5:$AC$208,10, FALSE), "")</f>
        <v/>
      </c>
      <c r="O99" s="85" t="str">
        <f>IFERROR(IF(VLOOKUP(ROWS($O$39:$O98), 'SelloutPlan v1Main'!$D$5:$AC$499, 12, FALSE)="Open", VLOOKUP(ROWS($O$39:$O98), 'SelloutPlan v1Main'!$D$5:$AC$499, 3, FALSE), ""), "")</f>
        <v/>
      </c>
      <c r="P99" s="86" t="str">
        <f>IFERROR(VLOOKUP(ROWS($O$39:U98),'SelloutPlan v1Main'!$E$5:$AC$208,12,FALSE),"")</f>
        <v/>
      </c>
      <c r="Q99" s="86"/>
      <c r="R99" s="54" t="str">
        <f>IFERROR(VLOOKUP(ROWS($O$39:U98),'SelloutPlan v1Main'!$E$5:$AC$208,5,FALSE),"")</f>
        <v/>
      </c>
      <c r="S99" s="87" t="str">
        <f>IFERROR(VLOOKUP(ROWS($O$39:S98), 'SelloutPlan v1Main'!$E$5:$AC$208, 14, FALSE), "")</f>
        <v/>
      </c>
      <c r="T99" s="85" t="str">
        <f>IFERROR(VLOOKUP(ROWS($O$39:T98), 'SelloutPlan v1Main'!$E$5:$AC$208, 14, FALSE), "")</f>
        <v/>
      </c>
      <c r="U99" s="83" t="str">
        <f>IFERROR(VLOOKUP(ROWS($O$39:U98),'SelloutPlan v1Main'!$E$5:$AC$208,16,FALSE),"")</f>
        <v/>
      </c>
      <c r="V99" s="54" t="str">
        <f>IFERROR(IF(_xlfn.XLOOKUP(ROWS($O$39:W99), 'SelloutPlan v1Main'!$E$5:$E$208, 'SelloutPlan v1Main'!$X$5:$X$208) = 0, "", _xlfn.XLOOKUP(ROWS($O$39:W99), 'SelloutPlan v1Main'!$E$5:$E$208, 'SelloutPlan v1Main'!$X$5:$X$208)), "")</f>
        <v/>
      </c>
      <c r="W99" s="54" t="str">
        <f>IFERROR(IF(VLOOKUP(ROWS($O$39:X98), 'SelloutPlan v1Main'!$E$5:$AP$209, 25, FALSE) = 0, "", VLOOKUP(ROWS($O$39:X98), 'SelloutPlan v1Main'!$E$5:$AP$209, 25, FALSE)), "")</f>
        <v/>
      </c>
    </row>
    <row r="100" spans="2:23" ht="25.5" customHeight="1" x14ac:dyDescent="0.45">
      <c r="B100" s="15">
        <v>61</v>
      </c>
      <c r="C100" s="17" t="str">
        <f>IFERROR(VLOOKUP(ROWS($C$39:C99), 'SelloutPlan v1Main'!$D$5:$AC$208,12, FALSE), "")</f>
        <v/>
      </c>
      <c r="D100" s="17" t="str">
        <f>IFERROR(VLOOKUP(ROWS($C$39:D99), 'SelloutPlan v1Main'!$D$5:$AC$208,11, FALSE), "")</f>
        <v/>
      </c>
      <c r="E100" s="17" t="str">
        <f>IFERROR(VLOOKUP(ROWS($C$39:E99), 'SelloutPlan v1Main'!$D$5:$AC$208,9, FALSE), "")</f>
        <v/>
      </c>
      <c r="F100" s="36" t="str">
        <f>IFERROR(VLOOKUP(ROWS($C$39:F99), 'SelloutPlan v1Main'!$D$5:$AC$208,7, FALSE), "")</f>
        <v/>
      </c>
      <c r="G100" s="91" t="str">
        <f>IFERROR(VLOOKUP(ROWS($C$39:G99), 'SelloutPlan v1Main'!$D$5:$AC$208,16, FALSE), "")</f>
        <v/>
      </c>
      <c r="H100" s="92" t="str">
        <f>IFERROR(VLOOKUP(ROWS($C$39:G99), 'SelloutPlan v1Main'!$D$5:$AC$208,22, FALSE), "")</f>
        <v/>
      </c>
      <c r="I100" s="37" t="str">
        <f>IFERROR(VLOOKUP(ROWS($C$39:H99), 'SelloutPlan v1Main'!$D$5:$AC$208,3, FALSE), "")</f>
        <v/>
      </c>
      <c r="J100" s="37" t="str">
        <f>IFERROR(VLOOKUP(ROWS($C$39:I99), 'SelloutPlan v1Main'!$D$5:$AC$208,10, FALSE), "")</f>
        <v/>
      </c>
      <c r="K100" s="37" t="str">
        <f>IFERROR(VLOOKUP(ROWS($C$39:J99), 'SelloutPlan v1Main'!$D$5:$AC$208,14, FALSE), "")</f>
        <v/>
      </c>
      <c r="L100" s="51" t="str">
        <f>IFERROR(VLOOKUP(ROWS($C$39:K99), 'SelloutPlan v1Main'!$D$5:$AC$208,10, FALSE), "")</f>
        <v/>
      </c>
      <c r="O100" s="19"/>
    </row>
    <row r="101" spans="2:23" ht="25.5" customHeight="1" x14ac:dyDescent="0.45">
      <c r="B101" s="15">
        <v>62</v>
      </c>
      <c r="C101" s="17" t="str">
        <f>IFERROR(VLOOKUP(ROWS($C$39:C100), 'SelloutPlan v1Main'!$D$5:$AC$208,12, FALSE), "")</f>
        <v/>
      </c>
      <c r="D101" s="17" t="str">
        <f>IFERROR(VLOOKUP(ROWS($C$39:D100), 'SelloutPlan v1Main'!$D$5:$AC$208,11, FALSE), "")</f>
        <v/>
      </c>
      <c r="E101" s="17" t="str">
        <f>IFERROR(VLOOKUP(ROWS($C$39:E100), 'SelloutPlan v1Main'!$D$5:$AC$208,9, FALSE), "")</f>
        <v/>
      </c>
      <c r="F101" s="36" t="str">
        <f>IFERROR(VLOOKUP(ROWS($C$39:F100), 'SelloutPlan v1Main'!$D$5:$AC$208,7, FALSE), "")</f>
        <v/>
      </c>
      <c r="G101" s="91" t="str">
        <f>IFERROR(VLOOKUP(ROWS($C$39:G100), 'SelloutPlan v1Main'!$D$5:$AC$208,16, FALSE), "")</f>
        <v/>
      </c>
      <c r="H101" s="92" t="str">
        <f>IFERROR(VLOOKUP(ROWS($C$39:G100), 'SelloutPlan v1Main'!$D$5:$AC$208,22, FALSE), "")</f>
        <v/>
      </c>
      <c r="I101" s="37" t="str">
        <f>IFERROR(VLOOKUP(ROWS($C$39:H100), 'SelloutPlan v1Main'!$D$5:$AC$208,3, FALSE), "")</f>
        <v/>
      </c>
      <c r="J101" s="37" t="str">
        <f>IFERROR(VLOOKUP(ROWS($C$39:I100), 'SelloutPlan v1Main'!$D$5:$AC$208,10, FALSE), "")</f>
        <v/>
      </c>
      <c r="K101" s="37" t="str">
        <f>IFERROR(VLOOKUP(ROWS($C$39:J100), 'SelloutPlan v1Main'!$D$5:$AC$208,14, FALSE), "")</f>
        <v/>
      </c>
      <c r="L101" s="51" t="str">
        <f>IFERROR(VLOOKUP(ROWS($C$39:K100), 'SelloutPlan v1Main'!$D$5:$AC$208,10, FALSE), "")</f>
        <v/>
      </c>
    </row>
    <row r="102" spans="2:23" ht="25.5" customHeight="1" x14ac:dyDescent="0.45">
      <c r="B102" s="15">
        <v>63</v>
      </c>
      <c r="C102" s="17" t="str">
        <f>IFERROR(VLOOKUP(ROWS($C$39:C101), 'SelloutPlan v1Main'!$D$5:$AC$208,12, FALSE), "")</f>
        <v/>
      </c>
      <c r="D102" s="17" t="str">
        <f>IFERROR(VLOOKUP(ROWS($C$39:D101), 'SelloutPlan v1Main'!$D$5:$AC$208,11, FALSE), "")</f>
        <v/>
      </c>
      <c r="E102" s="17" t="str">
        <f>IFERROR(VLOOKUP(ROWS($C$39:E101), 'SelloutPlan v1Main'!$D$5:$AC$208,9, FALSE), "")</f>
        <v/>
      </c>
      <c r="F102" s="36" t="str">
        <f>IFERROR(VLOOKUP(ROWS($C$39:F101), 'SelloutPlan v1Main'!$D$5:$AC$208,7, FALSE), "")</f>
        <v/>
      </c>
      <c r="G102" s="91" t="str">
        <f>IFERROR(VLOOKUP(ROWS($C$39:G101), 'SelloutPlan v1Main'!$D$5:$AC$208,16, FALSE), "")</f>
        <v/>
      </c>
      <c r="H102" s="92" t="str">
        <f>IFERROR(VLOOKUP(ROWS($C$39:G101), 'SelloutPlan v1Main'!$D$5:$AC$208,22, FALSE), "")</f>
        <v/>
      </c>
      <c r="I102" s="37" t="str">
        <f>IFERROR(VLOOKUP(ROWS($C$39:H101), 'SelloutPlan v1Main'!$D$5:$AC$208,3, FALSE), "")</f>
        <v/>
      </c>
      <c r="J102" s="37" t="str">
        <f>IFERROR(VLOOKUP(ROWS($C$39:I101), 'SelloutPlan v1Main'!$D$5:$AC$208,10, FALSE), "")</f>
        <v/>
      </c>
      <c r="K102" s="37" t="str">
        <f>IFERROR(VLOOKUP(ROWS($C$39:J101), 'SelloutPlan v1Main'!$D$5:$AC$208,14, FALSE), "")</f>
        <v/>
      </c>
      <c r="L102" s="51" t="str">
        <f>IFERROR(VLOOKUP(ROWS($C$39:K101), 'SelloutPlan v1Main'!$D$5:$AC$208,10, FALSE), "")</f>
        <v/>
      </c>
    </row>
    <row r="103" spans="2:23" ht="25.5" customHeight="1" x14ac:dyDescent="0.45">
      <c r="B103" s="15">
        <v>64</v>
      </c>
      <c r="D103" s="17" t="str">
        <f>IFERROR(VLOOKUP(ROWS($C$39:D102), 'SelloutPlan v1Main'!$D$5:$AC$208,11, FALSE), "")</f>
        <v/>
      </c>
      <c r="E103" s="17" t="str">
        <f>IFERROR(VLOOKUP(ROWS($C$39:E102), 'SelloutPlan v1Main'!$D$5:$AC$208,9, FALSE), "")</f>
        <v/>
      </c>
      <c r="F103" s="36" t="str">
        <f>IFERROR(VLOOKUP(ROWS($C$39:F102), 'SelloutPlan v1Main'!$D$5:$AC$208,7, FALSE), "")</f>
        <v/>
      </c>
      <c r="G103" s="91" t="str">
        <f>IFERROR(VLOOKUP(ROWS($C$39:G102), 'SelloutPlan v1Main'!$D$5:$AC$208,16, FALSE), "")</f>
        <v/>
      </c>
      <c r="H103" s="92" t="str">
        <f>IFERROR(VLOOKUP(ROWS($C$39:G102), 'SelloutPlan v1Main'!$D$5:$AC$208,22, FALSE), "")</f>
        <v/>
      </c>
      <c r="I103" s="37" t="str">
        <f>IFERROR(VLOOKUP(ROWS($C$39:H102), 'SelloutPlan v1Main'!$D$5:$AC$208,3, FALSE), "")</f>
        <v/>
      </c>
      <c r="J103" s="37" t="str">
        <f>IFERROR(VLOOKUP(ROWS($C$39:I102), 'SelloutPlan v1Main'!$D$5:$AC$208,10, FALSE), "")</f>
        <v/>
      </c>
      <c r="K103" s="37" t="str">
        <f>IFERROR(VLOOKUP(ROWS($C$39:J102), 'SelloutPlan v1Main'!$D$5:$AC$208,14, FALSE), "")</f>
        <v/>
      </c>
      <c r="L103" s="51" t="str">
        <f>IFERROR(VLOOKUP(ROWS($C$39:K102), 'SelloutPlan v1Main'!$D$5:$AC$208,10, FALSE), "")</f>
        <v/>
      </c>
    </row>
    <row r="104" spans="2:23" ht="25.5" customHeight="1" x14ac:dyDescent="0.45">
      <c r="B104" s="15">
        <v>65</v>
      </c>
      <c r="D104" s="17" t="str">
        <f>IFERROR(VLOOKUP(ROWS($C$39:D103), 'SelloutPlan v1Main'!$D$5:$AC$208,11, FALSE), "")</f>
        <v/>
      </c>
      <c r="E104" s="17" t="str">
        <f>IFERROR(VLOOKUP(ROWS($C$39:E103), 'SelloutPlan v1Main'!$D$5:$AC$208,9, FALSE), "")</f>
        <v/>
      </c>
      <c r="F104" s="36" t="str">
        <f>IFERROR(VLOOKUP(ROWS($C$39:F103), 'SelloutPlan v1Main'!$D$5:$AC$208,7, FALSE), "")</f>
        <v/>
      </c>
      <c r="G104" s="91" t="str">
        <f>IFERROR(VLOOKUP(ROWS($C$39:G103), 'SelloutPlan v1Main'!$D$5:$AC$208,16, FALSE), "")</f>
        <v/>
      </c>
      <c r="H104" s="92" t="str">
        <f>IFERROR(VLOOKUP(ROWS($C$39:G103), 'SelloutPlan v1Main'!$D$5:$AC$208,22, FALSE), "")</f>
        <v/>
      </c>
      <c r="I104" s="37" t="str">
        <f>IFERROR(VLOOKUP(ROWS($C$39:H103), 'SelloutPlan v1Main'!$D$5:$AC$208,3, FALSE), "")</f>
        <v/>
      </c>
      <c r="J104" s="37" t="str">
        <f>IFERROR(VLOOKUP(ROWS($C$39:I103), 'SelloutPlan v1Main'!$D$5:$AC$208,10, FALSE), "")</f>
        <v/>
      </c>
      <c r="K104" s="37" t="str">
        <f>IFERROR(VLOOKUP(ROWS($C$39:J103), 'SelloutPlan v1Main'!$D$5:$AC$208,14, FALSE), "")</f>
        <v/>
      </c>
      <c r="L104" s="51" t="str">
        <f>IFERROR(VLOOKUP(ROWS($C$39:K103), 'SelloutPlan v1Main'!$D$5:$AC$208,10, FALSE), "")</f>
        <v/>
      </c>
    </row>
    <row r="105" spans="2:23" ht="25.5" customHeight="1" x14ac:dyDescent="0.45">
      <c r="B105" s="15">
        <v>66</v>
      </c>
      <c r="D105" s="17" t="str">
        <f>IFERROR(VLOOKUP(ROWS($C$39:D104), 'SelloutPlan v1Main'!$D$5:$AC$208,11, FALSE), "")</f>
        <v/>
      </c>
      <c r="E105" s="17" t="str">
        <f>IFERROR(VLOOKUP(ROWS($C$39:E104), 'SelloutPlan v1Main'!$D$5:$AC$208,9, FALSE), "")</f>
        <v/>
      </c>
      <c r="F105" s="36" t="str">
        <f>IFERROR(VLOOKUP(ROWS($C$39:F104), 'SelloutPlan v1Main'!$D$5:$AC$208,7, FALSE), "")</f>
        <v/>
      </c>
      <c r="G105" s="91" t="str">
        <f>IFERROR(VLOOKUP(ROWS($C$39:G104), 'SelloutPlan v1Main'!$D$5:$AC$208,16, FALSE), "")</f>
        <v/>
      </c>
      <c r="H105" s="92" t="str">
        <f>IFERROR(VLOOKUP(ROWS($C$39:G104), 'SelloutPlan v1Main'!$D$5:$AC$208,22, FALSE), "")</f>
        <v/>
      </c>
      <c r="I105" s="37" t="str">
        <f>IFERROR(VLOOKUP(ROWS($C$39:H104), 'SelloutPlan v1Main'!$D$5:$AC$208,3, FALSE), "")</f>
        <v/>
      </c>
      <c r="J105" s="37" t="str">
        <f>IFERROR(VLOOKUP(ROWS($C$39:I104), 'SelloutPlan v1Main'!$D$5:$AC$208,10, FALSE), "")</f>
        <v/>
      </c>
      <c r="K105" s="37" t="str">
        <f>IFERROR(VLOOKUP(ROWS($C$39:J104), 'SelloutPlan v1Main'!$D$5:$AC$208,14, FALSE), "")</f>
        <v/>
      </c>
      <c r="L105" s="51" t="str">
        <f>IFERROR(VLOOKUP(ROWS($C$39:K104), 'SelloutPlan v1Main'!$D$5:$AC$208,10, FALSE), "")</f>
        <v/>
      </c>
    </row>
    <row r="106" spans="2:23" ht="25.5" customHeight="1" x14ac:dyDescent="0.45">
      <c r="B106" s="15">
        <v>67</v>
      </c>
      <c r="D106" s="17" t="str">
        <f>IFERROR(VLOOKUP(ROWS($C$39:D105), 'SelloutPlan v1Main'!$D$5:$AC$208,11, FALSE), "")</f>
        <v/>
      </c>
      <c r="E106" s="17" t="str">
        <f>IFERROR(VLOOKUP(ROWS($C$39:E105), 'SelloutPlan v1Main'!$D$5:$AC$208,9, FALSE), "")</f>
        <v/>
      </c>
      <c r="F106" s="36" t="str">
        <f>IFERROR(VLOOKUP(ROWS($C$39:F105), 'SelloutPlan v1Main'!$D$5:$AC$208,7, FALSE), "")</f>
        <v/>
      </c>
      <c r="G106" s="91" t="str">
        <f>IFERROR(VLOOKUP(ROWS($C$39:G105), 'SelloutPlan v1Main'!$D$5:$AC$208,16, FALSE), "")</f>
        <v/>
      </c>
      <c r="H106" s="92" t="str">
        <f>IFERROR(VLOOKUP(ROWS($C$39:G105), 'SelloutPlan v1Main'!$D$5:$AC$208,22, FALSE), "")</f>
        <v/>
      </c>
      <c r="I106" s="37" t="str">
        <f>IFERROR(VLOOKUP(ROWS($C$39:H105), 'SelloutPlan v1Main'!$D$5:$AC$208,3, FALSE), "")</f>
        <v/>
      </c>
      <c r="J106" s="37" t="str">
        <f>IFERROR(VLOOKUP(ROWS($C$39:I105), 'SelloutPlan v1Main'!$D$5:$AC$208,10, FALSE), "")</f>
        <v/>
      </c>
      <c r="K106" s="37" t="str">
        <f>IFERROR(VLOOKUP(ROWS($C$39:J105), 'SelloutPlan v1Main'!$D$5:$AC$208,14, FALSE), "")</f>
        <v/>
      </c>
      <c r="L106" s="51" t="str">
        <f>IFERROR(VLOOKUP(ROWS($C$39:K105), 'SelloutPlan v1Main'!$D$5:$AC$208,10, FALSE), "")</f>
        <v/>
      </c>
    </row>
    <row r="107" spans="2:23" ht="25.5" customHeight="1" x14ac:dyDescent="0.45">
      <c r="B107" s="15">
        <v>68</v>
      </c>
      <c r="E107" s="17" t="str">
        <f>IFERROR(VLOOKUP(ROWS($C$39:E106), 'SelloutPlan v1Main'!$D$5:$AC$208,9, FALSE), "")</f>
        <v/>
      </c>
      <c r="F107" s="36" t="str">
        <f>IFERROR(VLOOKUP(ROWS($C$39:F106), 'SelloutPlan v1Main'!$D$5:$AC$208,7, FALSE), "")</f>
        <v/>
      </c>
      <c r="G107" s="91" t="str">
        <f>IFERROR(VLOOKUP(ROWS($C$39:G106), 'SelloutPlan v1Main'!$D$5:$AC$208,16, FALSE), "")</f>
        <v/>
      </c>
      <c r="H107" s="92" t="str">
        <f>IFERROR(VLOOKUP(ROWS($C$39:G106), 'SelloutPlan v1Main'!$D$5:$AC$208,22, FALSE), "")</f>
        <v/>
      </c>
      <c r="I107" s="37" t="str">
        <f>IFERROR(VLOOKUP(ROWS($C$39:H106), 'SelloutPlan v1Main'!$D$5:$AC$208,3, FALSE), "")</f>
        <v/>
      </c>
      <c r="J107" s="37" t="str">
        <f>IFERROR(VLOOKUP(ROWS($C$39:I106), 'SelloutPlan v1Main'!$D$5:$AC$208,10, FALSE), "")</f>
        <v/>
      </c>
      <c r="K107" s="37" t="str">
        <f>IFERROR(VLOOKUP(ROWS($C$39:J106), 'SelloutPlan v1Main'!$D$5:$AC$208,14, FALSE), "")</f>
        <v/>
      </c>
      <c r="L107" s="51" t="str">
        <f>IFERROR(VLOOKUP(ROWS($C$39:K106), 'SelloutPlan v1Main'!$D$5:$AC$208,10, FALSE), "")</f>
        <v/>
      </c>
    </row>
    <row r="108" spans="2:23" ht="25.5" customHeight="1" x14ac:dyDescent="0.45">
      <c r="B108" s="15">
        <v>69</v>
      </c>
      <c r="F108" s="36" t="str">
        <f>IFERROR(VLOOKUP(ROWS($C$39:F107), 'SelloutPlan v1Main'!$D$5:$AC$208,7, FALSE), "")</f>
        <v/>
      </c>
      <c r="G108" s="91" t="str">
        <f>IFERROR(VLOOKUP(ROWS($C$39:G107), 'SelloutPlan v1Main'!$D$5:$AC$208,16, FALSE), "")</f>
        <v/>
      </c>
      <c r="H108" s="92" t="str">
        <f>IFERROR(VLOOKUP(ROWS($C$39:G107), 'SelloutPlan v1Main'!$D$5:$AC$208,22, FALSE), "")</f>
        <v/>
      </c>
      <c r="K108" s="37" t="str">
        <f>IFERROR(VLOOKUP(ROWS($C$39:J107), 'SelloutPlan v1Main'!$D$5:$AC$208,14, FALSE), "")</f>
        <v/>
      </c>
      <c r="L108" s="51" t="str">
        <f>IFERROR(VLOOKUP(ROWS($C$39:K107), 'SelloutPlan v1Main'!$D$5:$AC$208,10, FALSE), "")</f>
        <v/>
      </c>
    </row>
    <row r="109" spans="2:23" ht="25.5" customHeight="1" x14ac:dyDescent="0.45">
      <c r="B109" s="15">
        <v>70</v>
      </c>
      <c r="F109" s="36" t="str">
        <f>IFERROR(VLOOKUP(ROWS($C$39:F108), 'SelloutPlan v1Main'!$D$5:$AC$208,7, FALSE), "")</f>
        <v/>
      </c>
      <c r="G109" s="91" t="str">
        <f>IFERROR(VLOOKUP(ROWS($C$39:G108), 'SelloutPlan v1Main'!$D$5:$AC$208,16, FALSE), "")</f>
        <v/>
      </c>
      <c r="H109" s="92" t="str">
        <f>IFERROR(VLOOKUP(ROWS($C$39:G108), 'SelloutPlan v1Main'!$D$5:$AC$208,22, FALSE), "")</f>
        <v/>
      </c>
      <c r="K109" s="37" t="str">
        <f>IFERROR(VLOOKUP(ROWS($C$39:J108), 'SelloutPlan v1Main'!$D$5:$AC$208,14, FALSE), "")</f>
        <v/>
      </c>
      <c r="L109" s="51" t="str">
        <f>IFERROR(VLOOKUP(ROWS($C$39:K108), 'SelloutPlan v1Main'!$D$5:$AC$208,10, FALSE), "")</f>
        <v/>
      </c>
    </row>
    <row r="110" spans="2:23" ht="25.5" customHeight="1" x14ac:dyDescent="0.45">
      <c r="B110" s="15">
        <v>71</v>
      </c>
      <c r="F110" s="36" t="str">
        <f>IFERROR(VLOOKUP(ROWS($C$39:F109), 'SelloutPlan v1Main'!$D$5:$AC$208,7, FALSE), "")</f>
        <v/>
      </c>
      <c r="G110" s="91" t="str">
        <f>IFERROR(VLOOKUP(ROWS($C$39:G109), 'SelloutPlan v1Main'!$D$5:$AC$208,16, FALSE), "")</f>
        <v/>
      </c>
      <c r="H110" s="92" t="str">
        <f>IFERROR(VLOOKUP(ROWS($C$39:G109), 'SelloutPlan v1Main'!$D$5:$AC$208,22, FALSE), "")</f>
        <v/>
      </c>
      <c r="K110" s="37" t="str">
        <f>IFERROR(VLOOKUP(ROWS($C$39:J109), 'SelloutPlan v1Main'!$D$5:$AC$208,14, FALSE), "")</f>
        <v/>
      </c>
      <c r="L110" s="51" t="str">
        <f>IFERROR(VLOOKUP(ROWS($C$39:K109), 'SelloutPlan v1Main'!$D$5:$AC$208,10, FALSE), "")</f>
        <v/>
      </c>
    </row>
    <row r="111" spans="2:23" ht="25.5" customHeight="1" x14ac:dyDescent="0.45">
      <c r="B111" s="15">
        <v>72</v>
      </c>
      <c r="F111" s="36" t="str">
        <f>IFERROR(VLOOKUP(ROWS($C$39:F110), 'SelloutPlan v1Main'!$D$5:$AC$208,7, FALSE), "")</f>
        <v/>
      </c>
      <c r="G111" s="91" t="str">
        <f>IFERROR(VLOOKUP(ROWS($C$39:G110), 'SelloutPlan v1Main'!$D$5:$AC$208,16, FALSE), "")</f>
        <v/>
      </c>
      <c r="H111" s="92" t="str">
        <f>IFERROR(VLOOKUP(ROWS($C$39:G110), 'SelloutPlan v1Main'!$D$5:$AC$208,22, FALSE), "")</f>
        <v/>
      </c>
      <c r="K111" s="37" t="str">
        <f>IFERROR(VLOOKUP(ROWS($C$39:J110), 'SelloutPlan v1Main'!$D$5:$AC$208,14, FALSE), "")</f>
        <v/>
      </c>
      <c r="L111" s="51" t="str">
        <f>IFERROR(VLOOKUP(ROWS($C$39:K110), 'SelloutPlan v1Main'!$D$5:$AC$208,10, FALSE), "")</f>
        <v/>
      </c>
    </row>
    <row r="112" spans="2:23" ht="25.5" customHeight="1" x14ac:dyDescent="0.45">
      <c r="B112" s="15">
        <v>73</v>
      </c>
      <c r="F112" s="36" t="str">
        <f>IFERROR(VLOOKUP(ROWS($C$39:F111), 'SelloutPlan v1Main'!$D$5:$AC$208,7, FALSE), "")</f>
        <v/>
      </c>
      <c r="G112" s="91" t="str">
        <f>IFERROR(VLOOKUP(ROWS($C$39:G111), 'SelloutPlan v1Main'!$D$5:$AC$208,16, FALSE), "")</f>
        <v/>
      </c>
      <c r="H112" s="92" t="str">
        <f>IFERROR(VLOOKUP(ROWS($C$39:G111), 'SelloutPlan v1Main'!$D$5:$AC$208,22, FALSE), "")</f>
        <v/>
      </c>
      <c r="K112" s="37" t="str">
        <f>IFERROR(VLOOKUP(ROWS($C$39:J111), 'SelloutPlan v1Main'!$D$5:$AC$208,14, FALSE), "")</f>
        <v/>
      </c>
      <c r="L112" s="51" t="str">
        <f>IFERROR(VLOOKUP(ROWS($C$39:K111), 'SelloutPlan v1Main'!$D$5:$AC$208,10, FALSE), "")</f>
        <v/>
      </c>
    </row>
    <row r="113" spans="2:12" ht="25.5" customHeight="1" x14ac:dyDescent="0.45">
      <c r="B113" s="15">
        <v>74</v>
      </c>
      <c r="F113" s="36" t="str">
        <f>IFERROR(VLOOKUP(ROWS($C$39:F112), 'SelloutPlan v1Main'!$D$5:$AC$208,7, FALSE), "")</f>
        <v/>
      </c>
      <c r="G113" s="91" t="str">
        <f>IFERROR(VLOOKUP(ROWS($C$39:G112), 'SelloutPlan v1Main'!$D$5:$AC$208,16, FALSE), "")</f>
        <v/>
      </c>
      <c r="H113" s="92" t="str">
        <f>IFERROR(VLOOKUP(ROWS($C$39:G112), 'SelloutPlan v1Main'!$D$5:$AC$208,22, FALSE), "")</f>
        <v/>
      </c>
      <c r="K113" s="37" t="str">
        <f>IFERROR(VLOOKUP(ROWS($C$39:J112), 'SelloutPlan v1Main'!$D$5:$AC$208,14, FALSE), "")</f>
        <v/>
      </c>
      <c r="L113" s="51" t="str">
        <f>IFERROR(VLOOKUP(ROWS($C$39:K112), 'SelloutPlan v1Main'!$D$5:$AC$208,10, FALSE), "")</f>
        <v/>
      </c>
    </row>
    <row r="114" spans="2:12" ht="25.5" customHeight="1" x14ac:dyDescent="0.45">
      <c r="B114" s="15">
        <v>75</v>
      </c>
      <c r="F114" s="36" t="str">
        <f>IFERROR(VLOOKUP(ROWS($C$39:F113), 'SelloutPlan v1Main'!$D$5:$AC$208,7, FALSE), "")</f>
        <v/>
      </c>
      <c r="G114" s="91" t="str">
        <f>IFERROR(VLOOKUP(ROWS($C$39:G113), 'SelloutPlan v1Main'!$D$5:$AC$208,16, FALSE), "")</f>
        <v/>
      </c>
      <c r="H114" s="92" t="str">
        <f>IFERROR(VLOOKUP(ROWS($C$39:G113), 'SelloutPlan v1Main'!$D$5:$AC$208,22, FALSE), "")</f>
        <v/>
      </c>
      <c r="K114" s="37" t="str">
        <f>IFERROR(VLOOKUP(ROWS($C$39:J113), 'SelloutPlan v1Main'!$D$5:$AC$208,14, FALSE), "")</f>
        <v/>
      </c>
      <c r="L114" s="51" t="str">
        <f>IFERROR(VLOOKUP(ROWS($C$39:K113), 'SelloutPlan v1Main'!$D$5:$AC$208,10, FALSE), "")</f>
        <v/>
      </c>
    </row>
    <row r="115" spans="2:12" ht="25.5" customHeight="1" x14ac:dyDescent="0.45">
      <c r="B115" s="15">
        <v>76</v>
      </c>
      <c r="F115" s="36" t="str">
        <f>IFERROR(VLOOKUP(ROWS($C$39:F114), 'SelloutPlan v1Main'!$D$5:$AC$208,7, FALSE), "")</f>
        <v/>
      </c>
      <c r="G115" s="91" t="str">
        <f>IFERROR(VLOOKUP(ROWS($C$39:G114), 'SelloutPlan v1Main'!$D$5:$AC$208,16, FALSE), "")</f>
        <v/>
      </c>
      <c r="H115" s="92" t="str">
        <f>IFERROR(VLOOKUP(ROWS($C$39:G114), 'SelloutPlan v1Main'!$D$5:$AC$208,22, FALSE), "")</f>
        <v/>
      </c>
      <c r="K115" s="37" t="str">
        <f>IFERROR(VLOOKUP(ROWS($C$39:J114), 'SelloutPlan v1Main'!$D$5:$AC$208,14, FALSE), "")</f>
        <v/>
      </c>
      <c r="L115" s="51" t="str">
        <f>IFERROR(VLOOKUP(ROWS($C$39:K114), 'SelloutPlan v1Main'!$D$5:$AC$208,10, FALSE), "")</f>
        <v/>
      </c>
    </row>
    <row r="116" spans="2:12" ht="25.5" customHeight="1" x14ac:dyDescent="0.45">
      <c r="B116" s="15">
        <v>77</v>
      </c>
      <c r="G116" s="91" t="str">
        <f>IFERROR(VLOOKUP(ROWS($C$39:G115), 'SelloutPlan v1Main'!$D$5:$AC$208,16, FALSE), "")</f>
        <v/>
      </c>
      <c r="H116" s="92" t="str">
        <f>IFERROR(VLOOKUP(ROWS($C$39:G115), 'SelloutPlan v1Main'!$D$5:$AC$208,22, FALSE), "")</f>
        <v/>
      </c>
      <c r="K116" s="37" t="str">
        <f>IFERROR(VLOOKUP(ROWS($C$39:J115), 'SelloutPlan v1Main'!$D$5:$AC$208,14, FALSE), "")</f>
        <v/>
      </c>
      <c r="L116" s="51" t="str">
        <f>IFERROR(VLOOKUP(ROWS($C$39:K115), 'SelloutPlan v1Main'!$D$5:$AC$208,10, FALSE), "")</f>
        <v/>
      </c>
    </row>
    <row r="117" spans="2:12" ht="25.5" customHeight="1" x14ac:dyDescent="0.45">
      <c r="B117" s="15">
        <v>78</v>
      </c>
      <c r="G117" s="91" t="str">
        <f>IFERROR(VLOOKUP(ROWS($C$39:G116), 'SelloutPlan v1Main'!$D$5:$AC$208,16, FALSE), "")</f>
        <v/>
      </c>
      <c r="H117" s="92" t="str">
        <f>IFERROR(VLOOKUP(ROWS($C$39:G116), 'SelloutPlan v1Main'!$D$5:$AC$208,22, FALSE), "")</f>
        <v/>
      </c>
      <c r="K117" s="37" t="str">
        <f>IFERROR(VLOOKUP(ROWS($C$39:J116), 'SelloutPlan v1Main'!$D$5:$AC$208,14, FALSE), "")</f>
        <v/>
      </c>
      <c r="L117" s="51" t="str">
        <f>IFERROR(VLOOKUP(ROWS($C$39:K116), 'SelloutPlan v1Main'!$D$5:$AC$208,10, FALSE), "")</f>
        <v/>
      </c>
    </row>
    <row r="118" spans="2:12" ht="25.5" customHeight="1" x14ac:dyDescent="0.45">
      <c r="B118" s="15">
        <v>79</v>
      </c>
      <c r="G118" s="91" t="str">
        <f>IFERROR(VLOOKUP(ROWS($C$39:G117), 'SelloutPlan v1Main'!$D$5:$AC$208,16, FALSE), "")</f>
        <v/>
      </c>
      <c r="H118" s="92" t="str">
        <f>IFERROR(VLOOKUP(ROWS($C$39:G117), 'SelloutPlan v1Main'!$D$5:$AC$208,22, FALSE), "")</f>
        <v/>
      </c>
      <c r="K118" s="37" t="str">
        <f>IFERROR(VLOOKUP(ROWS($C$39:J117), 'SelloutPlan v1Main'!$D$5:$AC$208,14, FALSE), "")</f>
        <v/>
      </c>
      <c r="L118" s="51" t="str">
        <f>IFERROR(VLOOKUP(ROWS($C$39:K117), 'SelloutPlan v1Main'!$D$5:$AC$208,10, FALSE), "")</f>
        <v/>
      </c>
    </row>
    <row r="119" spans="2:12" ht="25.5" customHeight="1" x14ac:dyDescent="0.45">
      <c r="B119" s="15">
        <v>80</v>
      </c>
      <c r="G119" s="91" t="str">
        <f>IFERROR(VLOOKUP(ROWS($C$39:G118), 'SelloutPlan v1Main'!$D$5:$AC$208,16, FALSE), "")</f>
        <v/>
      </c>
      <c r="H119" s="92" t="str">
        <f>IFERROR(VLOOKUP(ROWS($C$39:G118), 'SelloutPlan v1Main'!$D$5:$AC$208,22, FALSE), "")</f>
        <v/>
      </c>
      <c r="K119" s="37" t="str">
        <f>IFERROR(VLOOKUP(ROWS($C$39:J118), 'SelloutPlan v1Main'!$D$5:$AC$208,14, FALSE), "")</f>
        <v/>
      </c>
      <c r="L119" s="51" t="str">
        <f>IFERROR(VLOOKUP(ROWS($C$39:K118), 'SelloutPlan v1Main'!$D$5:$AC$208,10, FALSE), "")</f>
        <v/>
      </c>
    </row>
    <row r="120" spans="2:12" ht="25.5" customHeight="1" x14ac:dyDescent="0.45">
      <c r="B120" s="15">
        <v>81</v>
      </c>
      <c r="G120" s="91" t="str">
        <f>IFERROR(VLOOKUP(ROWS($C$39:G119), 'SelloutPlan v1Main'!$D$5:$AC$208,16, FALSE), "")</f>
        <v/>
      </c>
      <c r="H120" s="92" t="str">
        <f>IFERROR(VLOOKUP(ROWS($C$39:G119), 'SelloutPlan v1Main'!$D$5:$AC$208,22, FALSE), "")</f>
        <v/>
      </c>
      <c r="K120" s="37" t="str">
        <f>IFERROR(VLOOKUP(ROWS($C$39:J119), 'SelloutPlan v1Main'!$D$5:$AC$208,14, FALSE), "")</f>
        <v/>
      </c>
      <c r="L120" s="51" t="str">
        <f>IFERROR(VLOOKUP(ROWS($C$39:K119), 'SelloutPlan v1Main'!$D$5:$AC$208,10, FALSE), "")</f>
        <v/>
      </c>
    </row>
    <row r="121" spans="2:12" ht="25.5" customHeight="1" x14ac:dyDescent="0.45">
      <c r="G121" s="91" t="str">
        <f>IFERROR(VLOOKUP(ROWS($C$39:G120), 'SelloutPlan v1Main'!$D$5:$AC$208,16, FALSE), "")</f>
        <v/>
      </c>
      <c r="H121" s="92" t="str">
        <f>IFERROR(VLOOKUP(ROWS($C$39:G120), 'SelloutPlan v1Main'!$D$5:$AC$208,22, FALSE), "")</f>
        <v/>
      </c>
      <c r="K121" s="37" t="str">
        <f>IFERROR(VLOOKUP(ROWS($C$39:J120), 'SelloutPlan v1Main'!$D$5:$AC$208,14, FALSE), "")</f>
        <v/>
      </c>
      <c r="L121" s="51" t="str">
        <f>IFERROR(VLOOKUP(ROWS($C$39:K120), 'SelloutPlan v1Main'!$D$5:$AC$208,10, FALSE), "")</f>
        <v/>
      </c>
    </row>
    <row r="122" spans="2:12" ht="25.5" customHeight="1" x14ac:dyDescent="0.45">
      <c r="G122" s="91" t="str">
        <f>IFERROR(VLOOKUP(ROWS($C$39:G121), 'SelloutPlan v1Main'!$D$5:$AC$208,16, FALSE), "")</f>
        <v/>
      </c>
      <c r="H122" s="92" t="str">
        <f>IFERROR(VLOOKUP(ROWS($C$39:G121), 'SelloutPlan v1Main'!$D$5:$AC$208,22, FALSE), "")</f>
        <v/>
      </c>
      <c r="K122" s="37" t="str">
        <f>IFERROR(VLOOKUP(ROWS($C$39:J121), 'SelloutPlan v1Main'!$D$5:$AC$208,14, FALSE), "")</f>
        <v/>
      </c>
      <c r="L122" s="51" t="str">
        <f>IFERROR(VLOOKUP(ROWS($C$39:K121), 'SelloutPlan v1Main'!$D$5:$AC$208,10, FALSE), "")</f>
        <v/>
      </c>
    </row>
    <row r="123" spans="2:12" ht="25.5" customHeight="1" x14ac:dyDescent="0.45">
      <c r="G123" s="91" t="str">
        <f>IFERROR(VLOOKUP(ROWS($C$39:G122), 'SelloutPlan v1Main'!$D$5:$AC$208,16, FALSE), "")</f>
        <v/>
      </c>
      <c r="H123" s="92" t="str">
        <f>IFERROR(VLOOKUP(ROWS($C$39:G122), 'SelloutPlan v1Main'!$D$5:$AC$208,22, FALSE), "")</f>
        <v/>
      </c>
      <c r="K123" s="37" t="str">
        <f>IFERROR(VLOOKUP(ROWS($C$39:J122), 'SelloutPlan v1Main'!$D$5:$AC$208,14, FALSE), "")</f>
        <v/>
      </c>
      <c r="L123" s="51" t="str">
        <f>IFERROR(VLOOKUP(ROWS($C$39:K122), 'SelloutPlan v1Main'!$D$5:$AC$208,10, FALSE), "")</f>
        <v/>
      </c>
    </row>
    <row r="124" spans="2:12" ht="25.5" customHeight="1" x14ac:dyDescent="0.45">
      <c r="G124" s="91" t="str">
        <f>IFERROR(VLOOKUP(ROWS($C$39:G123), 'SelloutPlan v1Main'!$D$5:$AC$208,16, FALSE), "")</f>
        <v/>
      </c>
      <c r="H124" s="92" t="str">
        <f>IFERROR(VLOOKUP(ROWS($C$39:G123), 'SelloutPlan v1Main'!$D$5:$AC$208,22, FALSE), "")</f>
        <v/>
      </c>
      <c r="K124" s="37" t="str">
        <f>IFERROR(VLOOKUP(ROWS($C$39:J123), 'SelloutPlan v1Main'!$D$5:$AC$208,14, FALSE), "")</f>
        <v/>
      </c>
      <c r="L124" s="51" t="str">
        <f>IFERROR(VLOOKUP(ROWS($C$39:K123), 'SelloutPlan v1Main'!$D$5:$AC$208,10, FALSE), "")</f>
        <v/>
      </c>
    </row>
    <row r="125" spans="2:12" ht="25.5" customHeight="1" x14ac:dyDescent="0.45">
      <c r="G125" s="91" t="str">
        <f>IFERROR(VLOOKUP(ROWS($C$39:G124), 'SelloutPlan v1Main'!$D$5:$AC$208,16, FALSE), "")</f>
        <v/>
      </c>
      <c r="H125" s="92" t="str">
        <f>IFERROR(VLOOKUP(ROWS($C$39:G124), 'SelloutPlan v1Main'!$D$5:$AC$208,22, FALSE), "")</f>
        <v/>
      </c>
      <c r="K125" s="37" t="str">
        <f>IFERROR(VLOOKUP(ROWS($C$39:J124), 'SelloutPlan v1Main'!$D$5:$AC$208,14, FALSE), "")</f>
        <v/>
      </c>
    </row>
    <row r="126" spans="2:12" ht="25.5" customHeight="1" x14ac:dyDescent="0.45">
      <c r="G126" s="91" t="str">
        <f>IFERROR(VLOOKUP(ROWS($C$39:G125), 'SelloutPlan v1Main'!$D$5:$AC$208,16, FALSE), "")</f>
        <v/>
      </c>
      <c r="H126" s="92" t="str">
        <f>IFERROR(VLOOKUP(ROWS($C$39:G125), 'SelloutPlan v1Main'!$D$5:$AC$208,22, FALSE), "")</f>
        <v/>
      </c>
      <c r="K126" s="37" t="str">
        <f>IFERROR(VLOOKUP(ROWS($C$39:J125), 'SelloutPlan v1Main'!$D$5:$AC$208,14, FALSE), "")</f>
        <v/>
      </c>
    </row>
    <row r="127" spans="2:12" ht="25.5" customHeight="1" x14ac:dyDescent="0.45">
      <c r="G127" s="91" t="str">
        <f>IFERROR(VLOOKUP(ROWS($C$39:G126), 'SelloutPlan v1Main'!$D$5:$AC$208,16, FALSE), "")</f>
        <v/>
      </c>
      <c r="H127" s="92" t="str">
        <f>IFERROR(VLOOKUP(ROWS($C$39:G126), 'SelloutPlan v1Main'!$D$5:$AC$208,22, FALSE), "")</f>
        <v/>
      </c>
      <c r="K127" s="37" t="str">
        <f>IFERROR(VLOOKUP(ROWS($C$39:J126), 'SelloutPlan v1Main'!$D$5:$AC$208,14, FALSE), "")</f>
        <v/>
      </c>
    </row>
    <row r="128" spans="2:12" ht="25.5" customHeight="1" x14ac:dyDescent="0.45">
      <c r="G128" s="91" t="str">
        <f>IFERROR(VLOOKUP(ROWS($C$39:G127), 'SelloutPlan v1Main'!$D$5:$AC$208,16, FALSE), "")</f>
        <v/>
      </c>
      <c r="H128" s="92" t="str">
        <f>IFERROR(VLOOKUP(ROWS($C$39:G127), 'SelloutPlan v1Main'!$D$5:$AC$208,22, FALSE), "")</f>
        <v/>
      </c>
      <c r="K128" s="37" t="str">
        <f>IFERROR(VLOOKUP(ROWS($C$39:J127), 'SelloutPlan v1Main'!$D$5:$AC$208,14, FALSE), "")</f>
        <v/>
      </c>
    </row>
    <row r="129" spans="7:11" ht="25.5" customHeight="1" x14ac:dyDescent="0.45">
      <c r="G129" s="91" t="str">
        <f>IFERROR(VLOOKUP(ROWS($C$39:G128), 'SelloutPlan v1Main'!$D$5:$AC$208,16, FALSE), "")</f>
        <v/>
      </c>
      <c r="H129" s="92" t="str">
        <f>IFERROR(VLOOKUP(ROWS($C$39:G128), 'SelloutPlan v1Main'!$D$5:$AC$208,22, FALSE), "")</f>
        <v/>
      </c>
      <c r="K129" s="37" t="str">
        <f>IFERROR(VLOOKUP(ROWS($C$39:J128), 'SelloutPlan v1Main'!$D$5:$AC$208,14, FALSE), "")</f>
        <v/>
      </c>
    </row>
    <row r="130" spans="7:11" ht="25.5" customHeight="1" x14ac:dyDescent="0.45">
      <c r="G130" s="91" t="str">
        <f>IFERROR(VLOOKUP(ROWS($C$39:G129), 'SelloutPlan v1Main'!$D$5:$AC$208,16, FALSE), "")</f>
        <v/>
      </c>
      <c r="H130" s="92" t="str">
        <f>IFERROR(VLOOKUP(ROWS($C$39:G129), 'SelloutPlan v1Main'!$D$5:$AC$208,22, FALSE), "")</f>
        <v/>
      </c>
      <c r="K130" s="37" t="str">
        <f>IFERROR(VLOOKUP(ROWS($C$39:J129), 'SelloutPlan v1Main'!$D$5:$AC$208,14, FALSE), "")</f>
        <v/>
      </c>
    </row>
    <row r="131" spans="7:11" ht="25.5" customHeight="1" x14ac:dyDescent="0.45">
      <c r="G131" s="91" t="str">
        <f>IFERROR(VLOOKUP(ROWS($C$39:G130), 'SelloutPlan v1Main'!$D$5:$AC$208,16, FALSE), "")</f>
        <v/>
      </c>
      <c r="H131" s="92" t="str">
        <f>IFERROR(VLOOKUP(ROWS($C$39:G130), 'SelloutPlan v1Main'!$D$5:$AC$208,22, FALSE), "")</f>
        <v/>
      </c>
      <c r="K131" s="37" t="str">
        <f>IFERROR(VLOOKUP(ROWS($C$39:J130), 'SelloutPlan v1Main'!$D$5:$AC$208,14, FALSE), "")</f>
        <v/>
      </c>
    </row>
    <row r="132" spans="7:11" ht="25.5" customHeight="1" x14ac:dyDescent="0.45">
      <c r="G132" s="91" t="str">
        <f>IFERROR(VLOOKUP(ROWS($C$39:G131), 'SelloutPlan v1Main'!$D$5:$AC$208,16, FALSE), "")</f>
        <v/>
      </c>
      <c r="K132" s="37" t="str">
        <f>IFERROR(VLOOKUP(ROWS($C$39:J131), 'SelloutPlan v1Main'!$D$5:$AC$208,14, FALSE), "")</f>
        <v/>
      </c>
    </row>
    <row r="133" spans="7:11" ht="25.5" customHeight="1" x14ac:dyDescent="0.45">
      <c r="G133" s="91" t="str">
        <f>IFERROR(VLOOKUP(ROWS($C$39:G132), 'SelloutPlan v1Main'!$D$5:$AC$208,16, FALSE), "")</f>
        <v/>
      </c>
      <c r="K133" s="37" t="str">
        <f>IFERROR(VLOOKUP(ROWS($C$39:J132), 'SelloutPlan v1Main'!$D$5:$AC$208,14, FALSE), "")</f>
        <v/>
      </c>
    </row>
  </sheetData>
  <mergeCells count="2">
    <mergeCell ref="O38:W38"/>
    <mergeCell ref="B38:L38"/>
  </mergeCells>
  <pageMargins left="0.7" right="0.7" top="0.75" bottom="0.75" header="0.3" footer="0.3"/>
  <pageSetup orientation="portrait" r:id="rId4"/>
  <tableParts count="2">
    <tablePart r:id="rId5"/>
    <tablePart r:id="rId6"/>
  </tableParts>
  <extLst>
    <ext xmlns:x14="http://schemas.microsoft.com/office/spreadsheetml/2009/9/main" uri="{78C0D931-6437-407d-A8EE-F0AAD7539E65}">
      <x14:conditionalFormattings>
        <x14:conditionalFormatting xmlns:xm="http://schemas.microsoft.com/office/excel/2006/main" pivot="1">
          <x14:cfRule type="iconSet" priority="2" id="{45BCB765-5EA7-4DC4-9AB7-10C35D8289C6}">
            <x14:iconSet iconSet="3Stars">
              <x14:cfvo type="percent">
                <xm:f>0</xm:f>
              </x14:cfvo>
              <x14:cfvo type="percent">
                <xm:f>33</xm:f>
              </x14:cfvo>
              <x14:cfvo type="percent">
                <xm:f>67</xm:f>
              </x14:cfvo>
            </x14:iconSet>
          </x14:cfRule>
          <xm:sqref>Q10:Q21</xm:sqref>
        </x14:conditionalFormatting>
      </x14:conditionalFormattings>
    </ext>
    <ext xmlns:x15="http://schemas.microsoft.com/office/spreadsheetml/2010/11/main" uri="{F7C9EE02-42E1-4005-9D12-6889AFFD525C}">
      <x15:webExtensions xmlns:xm="http://schemas.microsoft.com/office/excel/2006/main">
        <x15:webExtension appRef="{AD0F7A67-E6EF-413B-97CE-25CC01A38899}">
          <xm:f>Reports!$V$40</xm:f>
        </x15:webExtension>
      </x15:webExtens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20184-E096-4231-AD34-F252AEF760EC}">
  <sheetPr codeName="Sheet2"/>
  <dimension ref="A1:R479"/>
  <sheetViews>
    <sheetView workbookViewId="0">
      <selection activeCell="R3" sqref="R3"/>
    </sheetView>
  </sheetViews>
  <sheetFormatPr defaultRowHeight="14.4" x14ac:dyDescent="0.3"/>
  <cols>
    <col min="1" max="1" width="10.44140625" bestFit="1" customWidth="1"/>
    <col min="2" max="2" width="23" hidden="1" customWidth="1"/>
    <col min="3" max="3" width="17.5546875" bestFit="1" customWidth="1"/>
    <col min="4" max="4" width="18.109375" bestFit="1" customWidth="1"/>
    <col min="5" max="5" width="18.109375" customWidth="1"/>
    <col min="6" max="6" width="12.6640625" bestFit="1" customWidth="1"/>
    <col min="7" max="7" width="12.6640625" hidden="1" customWidth="1"/>
    <col min="8" max="8" width="23.33203125" bestFit="1" customWidth="1"/>
    <col min="9" max="9" width="12.33203125" bestFit="1" customWidth="1"/>
    <col min="10" max="10" width="19.5546875" bestFit="1" customWidth="1"/>
    <col min="11" max="11" width="19.88671875" bestFit="1" customWidth="1"/>
    <col min="12" max="12" width="22.33203125" customWidth="1"/>
    <col min="13" max="13" width="11.44140625" bestFit="1" customWidth="1"/>
    <col min="18" max="18" width="36.5546875" bestFit="1" customWidth="1"/>
  </cols>
  <sheetData>
    <row r="1" spans="1:18" ht="15.6" x14ac:dyDescent="0.3">
      <c r="A1" s="44" t="s">
        <v>179</v>
      </c>
      <c r="B1" s="44" t="s">
        <v>180</v>
      </c>
      <c r="C1" s="44" t="s">
        <v>181</v>
      </c>
      <c r="D1" s="44" t="s">
        <v>182</v>
      </c>
      <c r="E1" s="44" t="s">
        <v>28</v>
      </c>
      <c r="F1" s="44" t="s">
        <v>29</v>
      </c>
      <c r="G1" s="44" t="s">
        <v>1126</v>
      </c>
      <c r="H1" s="44" t="s">
        <v>183</v>
      </c>
      <c r="I1" s="44" t="s">
        <v>184</v>
      </c>
      <c r="J1" s="44" t="s">
        <v>185</v>
      </c>
      <c r="K1" s="44" t="s">
        <v>186</v>
      </c>
      <c r="L1" s="43" t="s">
        <v>187</v>
      </c>
      <c r="M1" s="43" t="s">
        <v>1127</v>
      </c>
    </row>
    <row r="2" spans="1:18" ht="31.2" x14ac:dyDescent="0.3">
      <c r="A2" s="46" t="s">
        <v>189</v>
      </c>
      <c r="B2" s="46" t="s">
        <v>1128</v>
      </c>
      <c r="C2" s="46" t="s">
        <v>237</v>
      </c>
      <c r="D2" s="46" t="s">
        <v>160</v>
      </c>
      <c r="E2" s="46" t="str">
        <f>IFERROR(VLOOKUP(TRIM(D2), Collection!$B$2:$D$1001, 2, FALSE), "")</f>
        <v>Overseas dual time Black</v>
      </c>
      <c r="F2" s="49" t="str">
        <f>IFERROR(VLOOKUP(TRIM(D2), Collection!$B$2:$D$1001, 3, FALSE), "")</f>
        <v>117,000 AED</v>
      </c>
      <c r="G2" s="49">
        <f t="shared" ref="G2:G65" si="0">IFERROR(VALUE(SUBSTITUTE(SUBSTITUTE(F2, "Price", ""), "AED", "")), "")</f>
        <v>117000</v>
      </c>
      <c r="H2" s="46" t="s">
        <v>192</v>
      </c>
      <c r="I2" s="46">
        <v>101893659</v>
      </c>
      <c r="J2" s="46" t="s">
        <v>193</v>
      </c>
      <c r="K2" s="46" t="s">
        <v>201</v>
      </c>
      <c r="L2" s="46" t="s">
        <v>1128</v>
      </c>
      <c r="M2" s="46" t="b">
        <f t="shared" ref="M2:M65" si="1">IF(COUNTIF($R$3:$R$100, D2) &gt; 0, TRUE, FALSE)</f>
        <v>0</v>
      </c>
      <c r="R2" s="45" t="s">
        <v>1129</v>
      </c>
    </row>
    <row r="3" spans="1:18" ht="46.8" x14ac:dyDescent="0.3">
      <c r="A3" s="46" t="s">
        <v>189</v>
      </c>
      <c r="B3" s="46" t="s">
        <v>1128</v>
      </c>
      <c r="C3" s="46" t="s">
        <v>237</v>
      </c>
      <c r="D3" s="46" t="s">
        <v>132</v>
      </c>
      <c r="E3" s="46" t="str">
        <f>IFERROR(VLOOKUP(TRIM(D3), Collection!$B$2:$D$1001, 2, FALSE), "")</f>
        <v>Overseas moon phase retrograde date</v>
      </c>
      <c r="F3" s="49" t="str">
        <f>IFERROR(VLOOKUP(TRIM(D3), Collection!$B$2:$D$1001, 3, FALSE), "")</f>
        <v>166,000 AED</v>
      </c>
      <c r="G3" s="49">
        <f t="shared" si="0"/>
        <v>166000</v>
      </c>
      <c r="H3" s="46" t="s">
        <v>192</v>
      </c>
      <c r="I3" s="46">
        <v>105306744</v>
      </c>
      <c r="J3" s="46" t="s">
        <v>193</v>
      </c>
      <c r="K3" s="46" t="s">
        <v>194</v>
      </c>
      <c r="L3" s="46" t="s">
        <v>1130</v>
      </c>
      <c r="M3" s="46" t="b">
        <f t="shared" si="1"/>
        <v>0</v>
      </c>
      <c r="R3" t="s">
        <v>1131</v>
      </c>
    </row>
    <row r="4" spans="1:18" ht="31.2" x14ac:dyDescent="0.3">
      <c r="A4" s="46" t="s">
        <v>189</v>
      </c>
      <c r="B4" s="46" t="s">
        <v>1128</v>
      </c>
      <c r="C4" s="46" t="s">
        <v>237</v>
      </c>
      <c r="D4" s="46" t="s">
        <v>120</v>
      </c>
      <c r="E4" s="46" t="str">
        <f>IFERROR(VLOOKUP(TRIM(D4), Collection!$B$2:$D$1001, 2, FALSE), "")</f>
        <v>Overseas self-winding</v>
      </c>
      <c r="F4" s="49" t="str">
        <f>IFERROR(VLOOKUP(TRIM(D4), Collection!$B$2:$D$1001, 3, FALSE), "")</f>
        <v>94,500 AED</v>
      </c>
      <c r="G4" s="49">
        <f t="shared" si="0"/>
        <v>94500</v>
      </c>
      <c r="H4" s="46" t="s">
        <v>192</v>
      </c>
      <c r="I4" s="46">
        <v>105306744</v>
      </c>
      <c r="J4" s="46" t="s">
        <v>193</v>
      </c>
      <c r="K4" s="46" t="s">
        <v>194</v>
      </c>
      <c r="L4" s="46" t="s">
        <v>1128</v>
      </c>
      <c r="M4" s="46" t="b">
        <f t="shared" si="1"/>
        <v>0</v>
      </c>
      <c r="R4" t="s">
        <v>80</v>
      </c>
    </row>
    <row r="5" spans="1:18" ht="31.2" x14ac:dyDescent="0.3">
      <c r="A5" s="46" t="s">
        <v>189</v>
      </c>
      <c r="B5" s="46" t="s">
        <v>1128</v>
      </c>
      <c r="C5" s="46" t="s">
        <v>237</v>
      </c>
      <c r="D5" s="46" t="s">
        <v>200</v>
      </c>
      <c r="E5" s="46" t="str">
        <f>IFERROR(VLOOKUP(TRIM(D5), Collection!$B$2:$D$1001, 2, FALSE), "")</f>
        <v>Historiques 222</v>
      </c>
      <c r="F5" s="49" t="str">
        <f>IFERROR(VLOOKUP(TRIM(D5), Collection!$B$2:$D$1001, 3, FALSE), "")</f>
        <v>121,000 AED</v>
      </c>
      <c r="G5" s="49">
        <f t="shared" si="0"/>
        <v>121000</v>
      </c>
      <c r="H5" s="46" t="s">
        <v>192</v>
      </c>
      <c r="I5" s="46">
        <v>105306744</v>
      </c>
      <c r="J5" s="46" t="s">
        <v>193</v>
      </c>
      <c r="K5" s="46" t="s">
        <v>194</v>
      </c>
      <c r="L5" s="46" t="s">
        <v>1128</v>
      </c>
      <c r="M5" s="46" t="b">
        <f t="shared" si="1"/>
        <v>0</v>
      </c>
      <c r="R5" t="s">
        <v>89</v>
      </c>
    </row>
    <row r="6" spans="1:18" ht="31.2" x14ac:dyDescent="0.3">
      <c r="A6" s="46" t="s">
        <v>189</v>
      </c>
      <c r="B6" s="46" t="s">
        <v>1128</v>
      </c>
      <c r="C6" s="46" t="s">
        <v>240</v>
      </c>
      <c r="D6" s="46" t="s">
        <v>241</v>
      </c>
      <c r="E6" s="46" t="str">
        <f>IFERROR(VLOOKUP(TRIM(D6), Collection!$B$2:$D$1001, 2, FALSE), "")</f>
        <v>Overseas chronograph</v>
      </c>
      <c r="F6" s="49" t="str">
        <f>IFERROR(VLOOKUP(TRIM(D6), Collection!$B$2:$D$1001, 3, FALSE), "")</f>
        <v>135,000 AED</v>
      </c>
      <c r="G6" s="49">
        <f t="shared" si="0"/>
        <v>135000</v>
      </c>
      <c r="H6" s="46" t="s">
        <v>192</v>
      </c>
      <c r="I6" s="46">
        <v>105225518</v>
      </c>
      <c r="J6" s="46" t="s">
        <v>193</v>
      </c>
      <c r="K6" s="46" t="s">
        <v>201</v>
      </c>
      <c r="L6" s="46" t="s">
        <v>1128</v>
      </c>
      <c r="M6" s="46" t="b">
        <f t="shared" si="1"/>
        <v>0</v>
      </c>
      <c r="R6" t="s">
        <v>68</v>
      </c>
    </row>
    <row r="7" spans="1:18" ht="31.2" x14ac:dyDescent="0.3">
      <c r="A7" s="46" t="s">
        <v>189</v>
      </c>
      <c r="B7" s="46" t="s">
        <v>1128</v>
      </c>
      <c r="C7" s="46" t="s">
        <v>240</v>
      </c>
      <c r="D7" s="46" t="s">
        <v>120</v>
      </c>
      <c r="E7" s="46" t="str">
        <f>IFERROR(VLOOKUP(TRIM(D7), Collection!$B$2:$D$1001, 2, FALSE), "")</f>
        <v>Overseas self-winding</v>
      </c>
      <c r="F7" s="49" t="str">
        <f>IFERROR(VLOOKUP(TRIM(D7), Collection!$B$2:$D$1001, 3, FALSE), "")</f>
        <v>94,500 AED</v>
      </c>
      <c r="G7" s="49">
        <f t="shared" si="0"/>
        <v>94500</v>
      </c>
      <c r="H7" s="46" t="s">
        <v>192</v>
      </c>
      <c r="I7" s="46">
        <v>105232635</v>
      </c>
      <c r="J7" s="46" t="s">
        <v>193</v>
      </c>
      <c r="K7" s="46" t="s">
        <v>204</v>
      </c>
      <c r="L7" s="46" t="s">
        <v>1132</v>
      </c>
      <c r="M7" s="46" t="b">
        <f t="shared" si="1"/>
        <v>0</v>
      </c>
      <c r="R7" t="s">
        <v>128</v>
      </c>
    </row>
    <row r="8" spans="1:18" ht="46.8" x14ac:dyDescent="0.3">
      <c r="A8" s="46" t="s">
        <v>189</v>
      </c>
      <c r="B8" s="46" t="s">
        <v>1128</v>
      </c>
      <c r="C8" s="46" t="s">
        <v>245</v>
      </c>
      <c r="D8" s="46" t="s">
        <v>246</v>
      </c>
      <c r="E8" s="46" t="str">
        <f>IFERROR(VLOOKUP(TRIM(D8), Collection!$B$2:$D$1001, 2, FALSE), "")</f>
        <v/>
      </c>
      <c r="F8" s="49" t="str">
        <f>IFERROR(VLOOKUP(TRIM(D8), Collection!$B$2:$D$1001, 3, FALSE), "")</f>
        <v/>
      </c>
      <c r="G8" s="49" t="str">
        <f t="shared" si="0"/>
        <v/>
      </c>
      <c r="H8" s="46" t="s">
        <v>192</v>
      </c>
      <c r="I8" s="46">
        <v>92425024</v>
      </c>
      <c r="J8" s="46" t="s">
        <v>248</v>
      </c>
      <c r="K8" s="46" t="s">
        <v>204</v>
      </c>
      <c r="L8" s="46" t="s">
        <v>1133</v>
      </c>
      <c r="M8" s="46" t="b">
        <f t="shared" si="1"/>
        <v>0</v>
      </c>
      <c r="R8" t="s">
        <v>351</v>
      </c>
    </row>
    <row r="9" spans="1:18" ht="31.2" x14ac:dyDescent="0.3">
      <c r="A9" s="46" t="s">
        <v>189</v>
      </c>
      <c r="B9" s="46" t="s">
        <v>1128</v>
      </c>
      <c r="C9" s="46" t="s">
        <v>245</v>
      </c>
      <c r="D9" s="46" t="s">
        <v>200</v>
      </c>
      <c r="E9" s="46" t="str">
        <f>IFERROR(VLOOKUP(TRIM(D9), Collection!$B$2:$D$1001, 2, FALSE), "")</f>
        <v>Historiques 222</v>
      </c>
      <c r="F9" s="49" t="str">
        <f>IFERROR(VLOOKUP(TRIM(D9), Collection!$B$2:$D$1001, 3, FALSE), "")</f>
        <v>121,000 AED</v>
      </c>
      <c r="G9" s="49">
        <f t="shared" si="0"/>
        <v>121000</v>
      </c>
      <c r="H9" s="46" t="s">
        <v>192</v>
      </c>
      <c r="I9" s="46">
        <v>105234569</v>
      </c>
      <c r="J9" s="46" t="s">
        <v>193</v>
      </c>
      <c r="K9" s="46" t="s">
        <v>194</v>
      </c>
      <c r="L9" s="46" t="s">
        <v>1134</v>
      </c>
      <c r="M9" s="46" t="b">
        <f t="shared" si="1"/>
        <v>0</v>
      </c>
    </row>
    <row r="10" spans="1:18" ht="46.8" x14ac:dyDescent="0.3">
      <c r="A10" s="46" t="s">
        <v>189</v>
      </c>
      <c r="B10" s="46" t="s">
        <v>1128</v>
      </c>
      <c r="C10" s="46" t="s">
        <v>252</v>
      </c>
      <c r="D10" s="46" t="s">
        <v>120</v>
      </c>
      <c r="E10" s="46" t="str">
        <f>IFERROR(VLOOKUP(TRIM(D10), Collection!$B$2:$D$1001, 2, FALSE), "")</f>
        <v>Overseas self-winding</v>
      </c>
      <c r="F10" s="49" t="str">
        <f>IFERROR(VLOOKUP(TRIM(D10), Collection!$B$2:$D$1001, 3, FALSE), "")</f>
        <v>94,500 AED</v>
      </c>
      <c r="G10" s="49">
        <f t="shared" si="0"/>
        <v>94500</v>
      </c>
      <c r="H10" s="46" t="s">
        <v>192</v>
      </c>
      <c r="I10" s="46">
        <v>105231885</v>
      </c>
      <c r="J10" s="46" t="s">
        <v>193</v>
      </c>
      <c r="K10" s="46" t="s">
        <v>204</v>
      </c>
      <c r="L10" s="46" t="s">
        <v>1135</v>
      </c>
      <c r="M10" s="46" t="b">
        <f t="shared" si="1"/>
        <v>0</v>
      </c>
    </row>
    <row r="11" spans="1:18" ht="31.2" x14ac:dyDescent="0.3">
      <c r="A11" s="46" t="s">
        <v>189</v>
      </c>
      <c r="B11" s="46" t="s">
        <v>1128</v>
      </c>
      <c r="C11" s="46" t="s">
        <v>252</v>
      </c>
      <c r="D11" s="46" t="s">
        <v>200</v>
      </c>
      <c r="E11" s="46" t="str">
        <f>IFERROR(VLOOKUP(TRIM(D11), Collection!$B$2:$D$1001, 2, FALSE), "")</f>
        <v>Historiques 222</v>
      </c>
      <c r="F11" s="49" t="str">
        <f>IFERROR(VLOOKUP(TRIM(D11), Collection!$B$2:$D$1001, 3, FALSE), "")</f>
        <v>121,000 AED</v>
      </c>
      <c r="G11" s="49">
        <f t="shared" si="0"/>
        <v>121000</v>
      </c>
      <c r="H11" s="46" t="s">
        <v>192</v>
      </c>
      <c r="I11" s="46">
        <v>105224074</v>
      </c>
      <c r="J11" s="46" t="s">
        <v>193</v>
      </c>
      <c r="K11" s="46" t="s">
        <v>204</v>
      </c>
      <c r="L11" s="46" t="s">
        <v>1136</v>
      </c>
      <c r="M11" s="46" t="b">
        <f t="shared" si="1"/>
        <v>0</v>
      </c>
    </row>
    <row r="12" spans="1:18" ht="62.4" x14ac:dyDescent="0.3">
      <c r="A12" s="46" t="s">
        <v>189</v>
      </c>
      <c r="B12" s="46" t="s">
        <v>1128</v>
      </c>
      <c r="C12" s="46" t="s">
        <v>252</v>
      </c>
      <c r="D12" s="46" t="s">
        <v>257</v>
      </c>
      <c r="E12" s="46" t="str">
        <f>IFERROR(VLOOKUP(TRIM(D12), Collection!$B$2:$D$1001, 2, FALSE), "")</f>
        <v>Overseas perpetual calendar ultra-thin</v>
      </c>
      <c r="F12" s="49" t="str">
        <f>IFERROR(VLOOKUP(TRIM(D12), Collection!$B$2:$D$1001, 3, FALSE), "")</f>
        <v>442,000 AED</v>
      </c>
      <c r="G12" s="49">
        <f t="shared" si="0"/>
        <v>442000</v>
      </c>
      <c r="H12" s="46" t="s">
        <v>192</v>
      </c>
      <c r="I12" s="46">
        <v>105248739</v>
      </c>
      <c r="J12" s="46" t="s">
        <v>193</v>
      </c>
      <c r="K12" s="46" t="s">
        <v>194</v>
      </c>
      <c r="L12" s="46" t="s">
        <v>1137</v>
      </c>
      <c r="M12" s="46" t="b">
        <f t="shared" si="1"/>
        <v>0</v>
      </c>
    </row>
    <row r="13" spans="1:18" ht="31.2" x14ac:dyDescent="0.3">
      <c r="A13" s="46" t="s">
        <v>189</v>
      </c>
      <c r="B13" s="46" t="s">
        <v>1128</v>
      </c>
      <c r="C13" s="46" t="s">
        <v>262</v>
      </c>
      <c r="D13" s="46" t="s">
        <v>200</v>
      </c>
      <c r="E13" s="46" t="str">
        <f>IFERROR(VLOOKUP(TRIM(D13), Collection!$B$2:$D$1001, 2, FALSE), "")</f>
        <v>Historiques 222</v>
      </c>
      <c r="F13" s="49" t="str">
        <f>IFERROR(VLOOKUP(TRIM(D13), Collection!$B$2:$D$1001, 3, FALSE), "")</f>
        <v>121,000 AED</v>
      </c>
      <c r="G13" s="49">
        <f t="shared" si="0"/>
        <v>121000</v>
      </c>
      <c r="H13" s="46" t="s">
        <v>192</v>
      </c>
      <c r="I13" s="46">
        <v>105223407</v>
      </c>
      <c r="J13" s="46" t="s">
        <v>193</v>
      </c>
      <c r="K13" s="46" t="s">
        <v>201</v>
      </c>
      <c r="L13" s="46" t="s">
        <v>1128</v>
      </c>
      <c r="M13" s="46" t="b">
        <f t="shared" si="1"/>
        <v>0</v>
      </c>
    </row>
    <row r="14" spans="1:18" ht="31.2" x14ac:dyDescent="0.3">
      <c r="A14" s="46" t="s">
        <v>189</v>
      </c>
      <c r="B14" s="46" t="s">
        <v>1128</v>
      </c>
      <c r="C14" s="47">
        <v>45904</v>
      </c>
      <c r="D14" s="46" t="s">
        <v>200</v>
      </c>
      <c r="E14" s="46" t="str">
        <f>IFERROR(VLOOKUP(TRIM(D14), Collection!$B$2:$D$1001, 2, FALSE), "")</f>
        <v>Historiques 222</v>
      </c>
      <c r="F14" s="49" t="str">
        <f>IFERROR(VLOOKUP(TRIM(D14), Collection!$B$2:$D$1001, 3, FALSE), "")</f>
        <v>121,000 AED</v>
      </c>
      <c r="G14" s="49">
        <f t="shared" si="0"/>
        <v>121000</v>
      </c>
      <c r="H14" s="46" t="s">
        <v>192</v>
      </c>
      <c r="I14" s="46">
        <v>105122031</v>
      </c>
      <c r="J14" s="46" t="s">
        <v>193</v>
      </c>
      <c r="K14" s="46" t="s">
        <v>204</v>
      </c>
      <c r="L14" s="46" t="s">
        <v>1138</v>
      </c>
      <c r="M14" s="46" t="b">
        <f t="shared" si="1"/>
        <v>0</v>
      </c>
    </row>
    <row r="15" spans="1:18" ht="31.2" x14ac:dyDescent="0.3">
      <c r="A15" s="46" t="s">
        <v>189</v>
      </c>
      <c r="B15" s="46" t="s">
        <v>1128</v>
      </c>
      <c r="C15" s="47">
        <v>45873</v>
      </c>
      <c r="D15" s="46" t="s">
        <v>56</v>
      </c>
      <c r="E15" s="46" t="str">
        <f>IFERROR(VLOOKUP(TRIM(D15), Collection!$B$2:$D$1001, 2, FALSE), "")</f>
        <v>Overseas dual time Blue</v>
      </c>
      <c r="F15" s="49" t="str">
        <f>IFERROR(VLOOKUP(TRIM(D15), Collection!$B$2:$D$1001, 3, FALSE), "")</f>
        <v>117,000 AED</v>
      </c>
      <c r="G15" s="49">
        <f t="shared" si="0"/>
        <v>117000</v>
      </c>
      <c r="H15" s="46" t="s">
        <v>192</v>
      </c>
      <c r="I15" s="46">
        <v>105116801</v>
      </c>
      <c r="J15" s="46" t="s">
        <v>193</v>
      </c>
      <c r="K15" s="46" t="s">
        <v>194</v>
      </c>
      <c r="L15" s="46" t="s">
        <v>1139</v>
      </c>
      <c r="M15" s="46" t="b">
        <f t="shared" si="1"/>
        <v>0</v>
      </c>
    </row>
    <row r="16" spans="1:18" ht="31.2" x14ac:dyDescent="0.3">
      <c r="A16" s="46" t="s">
        <v>189</v>
      </c>
      <c r="B16" s="46" t="s">
        <v>1128</v>
      </c>
      <c r="C16" s="47">
        <v>45873</v>
      </c>
      <c r="D16" s="46" t="s">
        <v>200</v>
      </c>
      <c r="E16" s="46" t="str">
        <f>IFERROR(VLOOKUP(TRIM(D16), Collection!$B$2:$D$1001, 2, FALSE), "")</f>
        <v>Historiques 222</v>
      </c>
      <c r="F16" s="49" t="str">
        <f>IFERROR(VLOOKUP(TRIM(D16), Collection!$B$2:$D$1001, 3, FALSE), "")</f>
        <v>121,000 AED</v>
      </c>
      <c r="G16" s="49">
        <f t="shared" si="0"/>
        <v>121000</v>
      </c>
      <c r="H16" s="46" t="s">
        <v>192</v>
      </c>
      <c r="I16" s="46">
        <v>105117467</v>
      </c>
      <c r="J16" s="46" t="s">
        <v>193</v>
      </c>
      <c r="K16" s="46" t="s">
        <v>194</v>
      </c>
      <c r="L16" s="46" t="s">
        <v>1140</v>
      </c>
      <c r="M16" s="46" t="b">
        <f t="shared" si="1"/>
        <v>0</v>
      </c>
    </row>
    <row r="17" spans="1:13" ht="31.2" x14ac:dyDescent="0.3">
      <c r="A17" s="46" t="s">
        <v>189</v>
      </c>
      <c r="B17" s="46" t="s">
        <v>1128</v>
      </c>
      <c r="C17" s="47">
        <v>45751</v>
      </c>
      <c r="D17" s="46" t="s">
        <v>200</v>
      </c>
      <c r="E17" s="46" t="str">
        <f>IFERROR(VLOOKUP(TRIM(D17), Collection!$B$2:$D$1001, 2, FALSE), "")</f>
        <v>Historiques 222</v>
      </c>
      <c r="F17" s="49" t="str">
        <f>IFERROR(VLOOKUP(TRIM(D17), Collection!$B$2:$D$1001, 3, FALSE), "")</f>
        <v>121,000 AED</v>
      </c>
      <c r="G17" s="49">
        <f t="shared" si="0"/>
        <v>121000</v>
      </c>
      <c r="H17" s="46" t="s">
        <v>192</v>
      </c>
      <c r="I17" s="46">
        <v>105001985</v>
      </c>
      <c r="J17" s="46" t="s">
        <v>193</v>
      </c>
      <c r="K17" s="46" t="s">
        <v>204</v>
      </c>
      <c r="L17" s="46" t="s">
        <v>1141</v>
      </c>
      <c r="M17" s="46" t="b">
        <f t="shared" si="1"/>
        <v>0</v>
      </c>
    </row>
    <row r="18" spans="1:13" ht="124.8" x14ac:dyDescent="0.3">
      <c r="A18" s="46" t="s">
        <v>189</v>
      </c>
      <c r="B18" s="46" t="s">
        <v>1128</v>
      </c>
      <c r="C18" s="47">
        <v>45751</v>
      </c>
      <c r="D18" s="46" t="s">
        <v>200</v>
      </c>
      <c r="E18" s="46" t="str">
        <f>IFERROR(VLOOKUP(TRIM(D18), Collection!$B$2:$D$1001, 2, FALSE), "")</f>
        <v>Historiques 222</v>
      </c>
      <c r="F18" s="49" t="str">
        <f>IFERROR(VLOOKUP(TRIM(D18), Collection!$B$2:$D$1001, 3, FALSE), "")</f>
        <v>121,000 AED</v>
      </c>
      <c r="G18" s="49">
        <f t="shared" si="0"/>
        <v>121000</v>
      </c>
      <c r="H18" s="46" t="s">
        <v>192</v>
      </c>
      <c r="I18" s="46">
        <v>101108337</v>
      </c>
      <c r="J18" s="46" t="s">
        <v>248</v>
      </c>
      <c r="K18" s="46" t="s">
        <v>201</v>
      </c>
      <c r="L18" s="46" t="s">
        <v>1142</v>
      </c>
      <c r="M18" s="46" t="b">
        <f t="shared" si="1"/>
        <v>0</v>
      </c>
    </row>
    <row r="19" spans="1:13" ht="31.2" x14ac:dyDescent="0.3">
      <c r="A19" s="46" t="s">
        <v>189</v>
      </c>
      <c r="B19" s="46" t="s">
        <v>1128</v>
      </c>
      <c r="C19" s="47">
        <v>45720</v>
      </c>
      <c r="D19" s="46" t="s">
        <v>209</v>
      </c>
      <c r="E19" s="46" t="str">
        <f>IFERROR(VLOOKUP(TRIM(D19), Collection!$B$2:$D$1001, 2, FALSE), "")</f>
        <v>Overseas self-winding</v>
      </c>
      <c r="F19" s="49" t="str">
        <f>IFERROR(VLOOKUP(TRIM(D19), Collection!$B$2:$D$1001, 3, FALSE), "")</f>
        <v>94,500 AED</v>
      </c>
      <c r="G19" s="49">
        <f t="shared" si="0"/>
        <v>94500</v>
      </c>
      <c r="H19" s="46" t="s">
        <v>192</v>
      </c>
      <c r="I19" s="46">
        <v>104989923</v>
      </c>
      <c r="J19" s="46" t="s">
        <v>193</v>
      </c>
      <c r="K19" s="46" t="s">
        <v>201</v>
      </c>
      <c r="L19" s="46" t="s">
        <v>1128</v>
      </c>
      <c r="M19" s="46" t="b">
        <f t="shared" si="1"/>
        <v>0</v>
      </c>
    </row>
    <row r="20" spans="1:13" ht="31.2" x14ac:dyDescent="0.3">
      <c r="A20" s="46" t="s">
        <v>189</v>
      </c>
      <c r="B20" s="46" t="s">
        <v>1128</v>
      </c>
      <c r="C20" s="47">
        <v>45720</v>
      </c>
      <c r="D20" s="46" t="s">
        <v>120</v>
      </c>
      <c r="E20" s="46" t="str">
        <f>IFERROR(VLOOKUP(TRIM(D20), Collection!$B$2:$D$1001, 2, FALSE), "")</f>
        <v>Overseas self-winding</v>
      </c>
      <c r="F20" s="49" t="str">
        <f>IFERROR(VLOOKUP(TRIM(D20), Collection!$B$2:$D$1001, 3, FALSE), "")</f>
        <v>94,500 AED</v>
      </c>
      <c r="G20" s="49">
        <f t="shared" si="0"/>
        <v>94500</v>
      </c>
      <c r="H20" s="46" t="s">
        <v>192</v>
      </c>
      <c r="I20" s="46">
        <v>104977543</v>
      </c>
      <c r="J20" s="46" t="s">
        <v>193</v>
      </c>
      <c r="K20" s="46" t="s">
        <v>204</v>
      </c>
      <c r="L20" s="46" t="s">
        <v>1143</v>
      </c>
      <c r="M20" s="46" t="b">
        <f t="shared" si="1"/>
        <v>0</v>
      </c>
    </row>
    <row r="21" spans="1:13" ht="31.2" x14ac:dyDescent="0.3">
      <c r="A21" s="46" t="s">
        <v>189</v>
      </c>
      <c r="B21" s="46" t="s">
        <v>1128</v>
      </c>
      <c r="C21" s="47">
        <v>45720</v>
      </c>
      <c r="D21" s="46" t="s">
        <v>200</v>
      </c>
      <c r="E21" s="46" t="str">
        <f>IFERROR(VLOOKUP(TRIM(D21), Collection!$B$2:$D$1001, 2, FALSE), "")</f>
        <v>Historiques 222</v>
      </c>
      <c r="F21" s="49" t="str">
        <f>IFERROR(VLOOKUP(TRIM(D21), Collection!$B$2:$D$1001, 3, FALSE), "")</f>
        <v>121,000 AED</v>
      </c>
      <c r="G21" s="49">
        <f t="shared" si="0"/>
        <v>121000</v>
      </c>
      <c r="H21" s="46" t="s">
        <v>192</v>
      </c>
      <c r="I21" s="46">
        <v>103771139</v>
      </c>
      <c r="J21" s="46" t="s">
        <v>193</v>
      </c>
      <c r="K21" s="46" t="s">
        <v>204</v>
      </c>
      <c r="L21" s="46" t="s">
        <v>1144</v>
      </c>
      <c r="M21" s="46" t="b">
        <f t="shared" si="1"/>
        <v>0</v>
      </c>
    </row>
    <row r="22" spans="1:13" ht="31.2" x14ac:dyDescent="0.3">
      <c r="A22" s="46" t="s">
        <v>189</v>
      </c>
      <c r="B22" s="46" t="s">
        <v>1128</v>
      </c>
      <c r="C22" s="47">
        <v>45720</v>
      </c>
      <c r="D22" s="46" t="s">
        <v>80</v>
      </c>
      <c r="E22" s="46" t="str">
        <f>IFERROR(VLOOKUP(TRIM(D22), Collection!$B$2:$D$1001, 2, FALSE), "")</f>
        <v>Historiques 222</v>
      </c>
      <c r="F22" s="49" t="str">
        <f>IFERROR(VLOOKUP(TRIM(D22), Collection!$B$2:$D$1001, 3, FALSE), "")</f>
        <v>279,000 AED</v>
      </c>
      <c r="G22" s="49">
        <f t="shared" si="0"/>
        <v>279000</v>
      </c>
      <c r="H22" s="46" t="s">
        <v>192</v>
      </c>
      <c r="I22" s="46">
        <v>104939061</v>
      </c>
      <c r="J22" s="46" t="s">
        <v>193</v>
      </c>
      <c r="K22" s="46" t="s">
        <v>194</v>
      </c>
      <c r="L22" s="46">
        <v>222</v>
      </c>
      <c r="M22" s="46" t="b">
        <f t="shared" si="1"/>
        <v>1</v>
      </c>
    </row>
    <row r="23" spans="1:13" ht="62.4" x14ac:dyDescent="0.3">
      <c r="A23" s="46" t="s">
        <v>189</v>
      </c>
      <c r="B23" s="46" t="s">
        <v>1128</v>
      </c>
      <c r="C23" s="47">
        <v>45720</v>
      </c>
      <c r="D23" s="46" t="s">
        <v>200</v>
      </c>
      <c r="E23" s="46" t="str">
        <f>IFERROR(VLOOKUP(TRIM(D23), Collection!$B$2:$D$1001, 2, FALSE), "")</f>
        <v>Historiques 222</v>
      </c>
      <c r="F23" s="49" t="str">
        <f>IFERROR(VLOOKUP(TRIM(D23), Collection!$B$2:$D$1001, 3, FALSE), "")</f>
        <v>121,000 AED</v>
      </c>
      <c r="G23" s="49">
        <f t="shared" si="0"/>
        <v>121000</v>
      </c>
      <c r="H23" s="46" t="s">
        <v>192</v>
      </c>
      <c r="I23" s="46">
        <v>105007242</v>
      </c>
      <c r="J23" s="46" t="s">
        <v>193</v>
      </c>
      <c r="K23" s="46" t="s">
        <v>194</v>
      </c>
      <c r="L23" s="46" t="s">
        <v>1145</v>
      </c>
      <c r="M23" s="46" t="b">
        <f t="shared" si="1"/>
        <v>0</v>
      </c>
    </row>
    <row r="24" spans="1:13" ht="31.2" x14ac:dyDescent="0.3">
      <c r="A24" s="46" t="s">
        <v>189</v>
      </c>
      <c r="B24" s="46" t="s">
        <v>1128</v>
      </c>
      <c r="C24" s="47">
        <v>45692</v>
      </c>
      <c r="D24" s="46" t="s">
        <v>120</v>
      </c>
      <c r="E24" s="46" t="str">
        <f>IFERROR(VLOOKUP(TRIM(D24), Collection!$B$2:$D$1001, 2, FALSE), "")</f>
        <v>Overseas self-winding</v>
      </c>
      <c r="F24" s="49" t="str">
        <f>IFERROR(VLOOKUP(TRIM(D24), Collection!$B$2:$D$1001, 3, FALSE), "")</f>
        <v>94,500 AED</v>
      </c>
      <c r="G24" s="49">
        <f t="shared" si="0"/>
        <v>94500</v>
      </c>
      <c r="H24" s="46" t="s">
        <v>192</v>
      </c>
      <c r="I24" s="46">
        <v>92397772</v>
      </c>
      <c r="J24" s="46" t="s">
        <v>193</v>
      </c>
      <c r="K24" s="46" t="s">
        <v>204</v>
      </c>
      <c r="L24" s="46" t="s">
        <v>1146</v>
      </c>
      <c r="M24" s="46" t="b">
        <f t="shared" si="1"/>
        <v>0</v>
      </c>
    </row>
    <row r="25" spans="1:13" ht="31.2" x14ac:dyDescent="0.3">
      <c r="A25" s="46" t="s">
        <v>189</v>
      </c>
      <c r="B25" s="46" t="s">
        <v>1128</v>
      </c>
      <c r="C25" s="47">
        <v>45692</v>
      </c>
      <c r="D25" s="46" t="s">
        <v>95</v>
      </c>
      <c r="E25" s="46" t="str">
        <f>IFERROR(VLOOKUP(TRIM(D25), Collection!$B$2:$D$1001, 2, FALSE), "")</f>
        <v>Overseas self-winding</v>
      </c>
      <c r="F25" s="49" t="str">
        <f>IFERROR(VLOOKUP(TRIM(D25), Collection!$B$2:$D$1001, 3, FALSE), "")</f>
        <v>229,000 AED</v>
      </c>
      <c r="G25" s="49">
        <f t="shared" si="0"/>
        <v>229000</v>
      </c>
      <c r="H25" s="46" t="s">
        <v>192</v>
      </c>
      <c r="I25" s="46">
        <v>104908207</v>
      </c>
      <c r="J25" s="46" t="s">
        <v>193</v>
      </c>
      <c r="K25" s="46" t="s">
        <v>204</v>
      </c>
      <c r="L25" s="46" t="s">
        <v>1147</v>
      </c>
      <c r="M25" s="46" t="b">
        <f t="shared" si="1"/>
        <v>0</v>
      </c>
    </row>
    <row r="26" spans="1:13" ht="31.2" x14ac:dyDescent="0.3">
      <c r="A26" s="46" t="s">
        <v>189</v>
      </c>
      <c r="B26" s="46" t="s">
        <v>1128</v>
      </c>
      <c r="C26" s="47">
        <v>45692</v>
      </c>
      <c r="D26" s="46" t="s">
        <v>200</v>
      </c>
      <c r="E26" s="46" t="str">
        <f>IFERROR(VLOOKUP(TRIM(D26), Collection!$B$2:$D$1001, 2, FALSE), "")</f>
        <v>Historiques 222</v>
      </c>
      <c r="F26" s="49" t="str">
        <f>IFERROR(VLOOKUP(TRIM(D26), Collection!$B$2:$D$1001, 3, FALSE), "")</f>
        <v>121,000 AED</v>
      </c>
      <c r="G26" s="49">
        <f t="shared" si="0"/>
        <v>121000</v>
      </c>
      <c r="H26" s="46" t="s">
        <v>192</v>
      </c>
      <c r="I26" s="46">
        <v>104994951</v>
      </c>
      <c r="J26" s="46" t="s">
        <v>193</v>
      </c>
      <c r="K26" s="46" t="s">
        <v>204</v>
      </c>
      <c r="L26" s="46" t="s">
        <v>1148</v>
      </c>
      <c r="M26" s="46" t="b">
        <f t="shared" si="1"/>
        <v>0</v>
      </c>
    </row>
    <row r="27" spans="1:13" ht="31.2" x14ac:dyDescent="0.3">
      <c r="A27" s="46" t="s">
        <v>189</v>
      </c>
      <c r="B27" s="46" t="s">
        <v>1128</v>
      </c>
      <c r="C27" s="47">
        <v>45661</v>
      </c>
      <c r="D27" s="46" t="s">
        <v>200</v>
      </c>
      <c r="E27" s="46" t="str">
        <f>IFERROR(VLOOKUP(TRIM(D27), Collection!$B$2:$D$1001, 2, FALSE), "")</f>
        <v>Historiques 222</v>
      </c>
      <c r="F27" s="49" t="str">
        <f>IFERROR(VLOOKUP(TRIM(D27), Collection!$B$2:$D$1001, 3, FALSE), "")</f>
        <v>121,000 AED</v>
      </c>
      <c r="G27" s="49">
        <f t="shared" si="0"/>
        <v>121000</v>
      </c>
      <c r="H27" s="46" t="s">
        <v>192</v>
      </c>
      <c r="I27" s="46">
        <v>104687880</v>
      </c>
      <c r="J27" s="46" t="s">
        <v>193</v>
      </c>
      <c r="K27" s="46" t="s">
        <v>201</v>
      </c>
      <c r="L27" s="46" t="s">
        <v>1128</v>
      </c>
      <c r="M27" s="46" t="b">
        <f t="shared" si="1"/>
        <v>0</v>
      </c>
    </row>
    <row r="28" spans="1:13" ht="62.4" x14ac:dyDescent="0.3">
      <c r="A28" s="46" t="s">
        <v>189</v>
      </c>
      <c r="B28" s="46" t="s">
        <v>1128</v>
      </c>
      <c r="C28" s="47">
        <v>45661</v>
      </c>
      <c r="D28" s="46" t="s">
        <v>310</v>
      </c>
      <c r="E28" s="46" t="str">
        <f>IFERROR(VLOOKUP(TRIM(D28), Collection!$B$2:$D$1001, 2, FALSE), "")</f>
        <v>Overseas chronograph</v>
      </c>
      <c r="F28" s="49" t="str">
        <f>IFERROR(VLOOKUP(TRIM(D28), Collection!$B$2:$D$1001, 3, FALSE), "")</f>
        <v>299,000 AED</v>
      </c>
      <c r="G28" s="49">
        <f t="shared" si="0"/>
        <v>299000</v>
      </c>
      <c r="H28" s="46" t="s">
        <v>192</v>
      </c>
      <c r="I28" s="46">
        <v>104802404</v>
      </c>
      <c r="J28" s="46" t="s">
        <v>193</v>
      </c>
      <c r="K28" s="46" t="s">
        <v>201</v>
      </c>
      <c r="L28" s="46" t="s">
        <v>1149</v>
      </c>
      <c r="M28" s="46" t="b">
        <f t="shared" si="1"/>
        <v>0</v>
      </c>
    </row>
    <row r="29" spans="1:13" ht="31.2" x14ac:dyDescent="0.3">
      <c r="A29" s="46" t="s">
        <v>189</v>
      </c>
      <c r="B29" s="46" t="s">
        <v>1128</v>
      </c>
      <c r="C29" s="47">
        <v>45661</v>
      </c>
      <c r="D29" s="46" t="s">
        <v>200</v>
      </c>
      <c r="E29" s="46" t="str">
        <f>IFERROR(VLOOKUP(TRIM(D29), Collection!$B$2:$D$1001, 2, FALSE), "")</f>
        <v>Historiques 222</v>
      </c>
      <c r="F29" s="49" t="str">
        <f>IFERROR(VLOOKUP(TRIM(D29), Collection!$B$2:$D$1001, 3, FALSE), "")</f>
        <v>121,000 AED</v>
      </c>
      <c r="G29" s="49">
        <f t="shared" si="0"/>
        <v>121000</v>
      </c>
      <c r="H29" s="46" t="s">
        <v>192</v>
      </c>
      <c r="I29" s="46">
        <v>104687223</v>
      </c>
      <c r="J29" s="46" t="s">
        <v>193</v>
      </c>
      <c r="K29" s="46" t="s">
        <v>201</v>
      </c>
      <c r="L29" s="46" t="s">
        <v>1128</v>
      </c>
      <c r="M29" s="46" t="b">
        <f t="shared" si="1"/>
        <v>0</v>
      </c>
    </row>
    <row r="30" spans="1:13" ht="31.2" x14ac:dyDescent="0.3">
      <c r="A30" s="46" t="s">
        <v>189</v>
      </c>
      <c r="B30" s="46" t="s">
        <v>1128</v>
      </c>
      <c r="C30" s="47">
        <v>45661</v>
      </c>
      <c r="D30" s="46" t="s">
        <v>120</v>
      </c>
      <c r="E30" s="46" t="str">
        <f>IFERROR(VLOOKUP(TRIM(D30), Collection!$B$2:$D$1001, 2, FALSE), "")</f>
        <v>Overseas self-winding</v>
      </c>
      <c r="F30" s="49" t="str">
        <f>IFERROR(VLOOKUP(TRIM(D30), Collection!$B$2:$D$1001, 3, FALSE), "")</f>
        <v>94,500 AED</v>
      </c>
      <c r="G30" s="49">
        <f t="shared" si="0"/>
        <v>94500</v>
      </c>
      <c r="H30" s="46" t="s">
        <v>192</v>
      </c>
      <c r="I30" s="46">
        <v>104982295</v>
      </c>
      <c r="J30" s="46" t="s">
        <v>193</v>
      </c>
      <c r="K30" s="46" t="s">
        <v>204</v>
      </c>
      <c r="L30" s="46" t="s">
        <v>1150</v>
      </c>
      <c r="M30" s="46" t="b">
        <f t="shared" si="1"/>
        <v>0</v>
      </c>
    </row>
    <row r="31" spans="1:13" ht="31.2" x14ac:dyDescent="0.3">
      <c r="A31" s="46" t="s">
        <v>189</v>
      </c>
      <c r="B31" s="46" t="s">
        <v>1128</v>
      </c>
      <c r="C31" s="46" t="s">
        <v>316</v>
      </c>
      <c r="D31" s="46" t="s">
        <v>200</v>
      </c>
      <c r="E31" s="46" t="str">
        <f>IFERROR(VLOOKUP(TRIM(D31), Collection!$B$2:$D$1001, 2, FALSE), "")</f>
        <v>Historiques 222</v>
      </c>
      <c r="F31" s="49" t="str">
        <f>IFERROR(VLOOKUP(TRIM(D31), Collection!$B$2:$D$1001, 3, FALSE), "")</f>
        <v>121,000 AED</v>
      </c>
      <c r="G31" s="49">
        <f t="shared" si="0"/>
        <v>121000</v>
      </c>
      <c r="H31" s="46" t="s">
        <v>192</v>
      </c>
      <c r="I31" s="46">
        <v>101107205</v>
      </c>
      <c r="J31" s="46" t="s">
        <v>193</v>
      </c>
      <c r="K31" s="46" t="s">
        <v>204</v>
      </c>
      <c r="L31" s="46" t="s">
        <v>1151</v>
      </c>
      <c r="M31" s="46" t="b">
        <f t="shared" si="1"/>
        <v>0</v>
      </c>
    </row>
    <row r="32" spans="1:13" ht="31.2" x14ac:dyDescent="0.3">
      <c r="A32" s="46" t="s">
        <v>189</v>
      </c>
      <c r="B32" s="46" t="s">
        <v>1128</v>
      </c>
      <c r="C32" s="46" t="s">
        <v>316</v>
      </c>
      <c r="D32" s="46" t="s">
        <v>200</v>
      </c>
      <c r="E32" s="46" t="str">
        <f>IFERROR(VLOOKUP(TRIM(D32), Collection!$B$2:$D$1001, 2, FALSE), "")</f>
        <v>Historiques 222</v>
      </c>
      <c r="F32" s="49" t="str">
        <f>IFERROR(VLOOKUP(TRIM(D32), Collection!$B$2:$D$1001, 3, FALSE), "")</f>
        <v>121,000 AED</v>
      </c>
      <c r="G32" s="49">
        <f t="shared" si="0"/>
        <v>121000</v>
      </c>
      <c r="H32" s="46" t="s">
        <v>192</v>
      </c>
      <c r="I32" s="46">
        <v>104922362</v>
      </c>
      <c r="J32" s="46" t="s">
        <v>193</v>
      </c>
      <c r="K32" s="46" t="s">
        <v>204</v>
      </c>
      <c r="L32" s="46" t="s">
        <v>1152</v>
      </c>
      <c r="M32" s="46" t="b">
        <f t="shared" si="1"/>
        <v>0</v>
      </c>
    </row>
    <row r="33" spans="1:13" ht="46.8" x14ac:dyDescent="0.3">
      <c r="A33" s="46" t="s">
        <v>189</v>
      </c>
      <c r="B33" s="46" t="s">
        <v>1128</v>
      </c>
      <c r="C33" s="46" t="s">
        <v>330</v>
      </c>
      <c r="D33" s="46" t="s">
        <v>120</v>
      </c>
      <c r="E33" s="46" t="str">
        <f>IFERROR(VLOOKUP(TRIM(D33), Collection!$B$2:$D$1001, 2, FALSE), "")</f>
        <v>Overseas self-winding</v>
      </c>
      <c r="F33" s="49" t="str">
        <f>IFERROR(VLOOKUP(TRIM(D33), Collection!$B$2:$D$1001, 3, FALSE), "")</f>
        <v>94,500 AED</v>
      </c>
      <c r="G33" s="49">
        <f t="shared" si="0"/>
        <v>94500</v>
      </c>
      <c r="H33" s="46" t="s">
        <v>192</v>
      </c>
      <c r="I33" s="46">
        <v>104181314</v>
      </c>
      <c r="J33" s="46" t="s">
        <v>193</v>
      </c>
      <c r="K33" s="46" t="s">
        <v>204</v>
      </c>
      <c r="L33" s="46" t="s">
        <v>1153</v>
      </c>
      <c r="M33" s="46" t="b">
        <f t="shared" si="1"/>
        <v>0</v>
      </c>
    </row>
    <row r="34" spans="1:13" ht="31.2" x14ac:dyDescent="0.3">
      <c r="A34" s="46" t="s">
        <v>189</v>
      </c>
      <c r="B34" s="46" t="s">
        <v>1128</v>
      </c>
      <c r="C34" s="46" t="s">
        <v>333</v>
      </c>
      <c r="D34" s="46" t="s">
        <v>200</v>
      </c>
      <c r="E34" s="46" t="str">
        <f>IFERROR(VLOOKUP(TRIM(D34), Collection!$B$2:$D$1001, 2, FALSE), "")</f>
        <v>Historiques 222</v>
      </c>
      <c r="F34" s="49" t="str">
        <f>IFERROR(VLOOKUP(TRIM(D34), Collection!$B$2:$D$1001, 3, FALSE), "")</f>
        <v>121,000 AED</v>
      </c>
      <c r="G34" s="49">
        <f t="shared" si="0"/>
        <v>121000</v>
      </c>
      <c r="H34" s="46" t="s">
        <v>192</v>
      </c>
      <c r="I34" s="46">
        <v>104908886</v>
      </c>
      <c r="J34" s="46" t="s">
        <v>193</v>
      </c>
      <c r="K34" s="46" t="s">
        <v>194</v>
      </c>
      <c r="L34" s="46">
        <v>222</v>
      </c>
      <c r="M34" s="46" t="b">
        <f t="shared" si="1"/>
        <v>0</v>
      </c>
    </row>
    <row r="35" spans="1:13" ht="78" x14ac:dyDescent="0.3">
      <c r="A35" s="46" t="s">
        <v>189</v>
      </c>
      <c r="B35" s="46" t="s">
        <v>1128</v>
      </c>
      <c r="C35" s="46" t="s">
        <v>115</v>
      </c>
      <c r="D35" s="46" t="s">
        <v>56</v>
      </c>
      <c r="E35" s="46" t="str">
        <f>IFERROR(VLOOKUP(TRIM(D35), Collection!$B$2:$D$1001, 2, FALSE), "")</f>
        <v>Overseas dual time Blue</v>
      </c>
      <c r="F35" s="49" t="str">
        <f>IFERROR(VLOOKUP(TRIM(D35), Collection!$B$2:$D$1001, 3, FALSE), "")</f>
        <v>117,000 AED</v>
      </c>
      <c r="G35" s="49">
        <f t="shared" si="0"/>
        <v>117000</v>
      </c>
      <c r="H35" s="46" t="s">
        <v>192</v>
      </c>
      <c r="I35" s="46">
        <v>104849248</v>
      </c>
      <c r="J35" s="46" t="s">
        <v>248</v>
      </c>
      <c r="K35" s="46" t="s">
        <v>194</v>
      </c>
      <c r="L35" s="46" t="s">
        <v>1154</v>
      </c>
      <c r="M35" s="46" t="b">
        <f t="shared" si="1"/>
        <v>0</v>
      </c>
    </row>
    <row r="36" spans="1:13" ht="31.2" x14ac:dyDescent="0.3">
      <c r="A36" s="46" t="s">
        <v>189</v>
      </c>
      <c r="B36" s="46" t="s">
        <v>1128</v>
      </c>
      <c r="C36" s="46" t="s">
        <v>115</v>
      </c>
      <c r="D36" s="46" t="s">
        <v>200</v>
      </c>
      <c r="E36" s="46" t="str">
        <f>IFERROR(VLOOKUP(TRIM(D36), Collection!$B$2:$D$1001, 2, FALSE), "")</f>
        <v>Historiques 222</v>
      </c>
      <c r="F36" s="49" t="str">
        <f>IFERROR(VLOOKUP(TRIM(D36), Collection!$B$2:$D$1001, 3, FALSE), "")</f>
        <v>121,000 AED</v>
      </c>
      <c r="G36" s="49">
        <f t="shared" si="0"/>
        <v>121000</v>
      </c>
      <c r="H36" s="46" t="s">
        <v>192</v>
      </c>
      <c r="I36" s="46">
        <v>93232291</v>
      </c>
      <c r="J36" s="46" t="s">
        <v>193</v>
      </c>
      <c r="K36" s="46" t="s">
        <v>194</v>
      </c>
      <c r="L36" s="46" t="s">
        <v>1155</v>
      </c>
      <c r="M36" s="46" t="b">
        <f t="shared" si="1"/>
        <v>0</v>
      </c>
    </row>
    <row r="37" spans="1:13" ht="31.2" x14ac:dyDescent="0.3">
      <c r="A37" s="46" t="s">
        <v>189</v>
      </c>
      <c r="B37" s="46" t="s">
        <v>1128</v>
      </c>
      <c r="C37" s="46" t="s">
        <v>115</v>
      </c>
      <c r="D37" s="46" t="s">
        <v>200</v>
      </c>
      <c r="E37" s="46" t="str">
        <f>IFERROR(VLOOKUP(TRIM(D37), Collection!$B$2:$D$1001, 2, FALSE), "")</f>
        <v>Historiques 222</v>
      </c>
      <c r="F37" s="49" t="str">
        <f>IFERROR(VLOOKUP(TRIM(D37), Collection!$B$2:$D$1001, 3, FALSE), "")</f>
        <v>121,000 AED</v>
      </c>
      <c r="G37" s="49">
        <f t="shared" si="0"/>
        <v>121000</v>
      </c>
      <c r="H37" s="46" t="s">
        <v>192</v>
      </c>
      <c r="I37" s="46">
        <v>103617532</v>
      </c>
      <c r="J37" s="46" t="s">
        <v>193</v>
      </c>
      <c r="K37" s="46" t="s">
        <v>201</v>
      </c>
      <c r="L37" s="46" t="s">
        <v>1128</v>
      </c>
      <c r="M37" s="46" t="b">
        <f t="shared" si="1"/>
        <v>0</v>
      </c>
    </row>
    <row r="38" spans="1:13" ht="31.2" x14ac:dyDescent="0.3">
      <c r="A38" s="46" t="s">
        <v>189</v>
      </c>
      <c r="B38" s="46" t="s">
        <v>1128</v>
      </c>
      <c r="C38" s="46" t="s">
        <v>115</v>
      </c>
      <c r="D38" s="46" t="s">
        <v>200</v>
      </c>
      <c r="E38" s="46" t="str">
        <f>IFERROR(VLOOKUP(TRIM(D38), Collection!$B$2:$D$1001, 2, FALSE), "")</f>
        <v>Historiques 222</v>
      </c>
      <c r="F38" s="49" t="str">
        <f>IFERROR(VLOOKUP(TRIM(D38), Collection!$B$2:$D$1001, 3, FALSE), "")</f>
        <v>121,000 AED</v>
      </c>
      <c r="G38" s="49">
        <f t="shared" si="0"/>
        <v>121000</v>
      </c>
      <c r="H38" s="46" t="s">
        <v>192</v>
      </c>
      <c r="I38" s="46">
        <v>104564947</v>
      </c>
      <c r="J38" s="46" t="s">
        <v>193</v>
      </c>
      <c r="K38" s="46" t="s">
        <v>194</v>
      </c>
      <c r="L38" s="46">
        <v>222</v>
      </c>
      <c r="M38" s="46" t="b">
        <f t="shared" si="1"/>
        <v>0</v>
      </c>
    </row>
    <row r="39" spans="1:13" ht="31.2" x14ac:dyDescent="0.3">
      <c r="A39" s="46" t="s">
        <v>189</v>
      </c>
      <c r="B39" s="46" t="s">
        <v>1128</v>
      </c>
      <c r="C39" s="46" t="s">
        <v>115</v>
      </c>
      <c r="D39" s="46" t="s">
        <v>120</v>
      </c>
      <c r="E39" s="46" t="str">
        <f>IFERROR(VLOOKUP(TRIM(D39), Collection!$B$2:$D$1001, 2, FALSE), "")</f>
        <v>Overseas self-winding</v>
      </c>
      <c r="F39" s="49" t="str">
        <f>IFERROR(VLOOKUP(TRIM(D39), Collection!$B$2:$D$1001, 3, FALSE), "")</f>
        <v>94,500 AED</v>
      </c>
      <c r="G39" s="49">
        <f t="shared" si="0"/>
        <v>94500</v>
      </c>
      <c r="H39" s="46" t="s">
        <v>192</v>
      </c>
      <c r="I39" s="46">
        <v>104853731</v>
      </c>
      <c r="J39" s="46" t="s">
        <v>193</v>
      </c>
      <c r="K39" s="46" t="s">
        <v>201</v>
      </c>
      <c r="L39" s="46" t="s">
        <v>1128</v>
      </c>
      <c r="M39" s="46" t="b">
        <f t="shared" si="1"/>
        <v>0</v>
      </c>
    </row>
    <row r="40" spans="1:13" ht="46.8" x14ac:dyDescent="0.3">
      <c r="A40" s="46" t="s">
        <v>189</v>
      </c>
      <c r="B40" s="46" t="s">
        <v>1128</v>
      </c>
      <c r="C40" s="46" t="s">
        <v>115</v>
      </c>
      <c r="D40" s="46" t="s">
        <v>128</v>
      </c>
      <c r="E40" s="46" t="str">
        <f>IFERROR(VLOOKUP(TRIM(D40), Collection!$B$2:$D$1001, 2, FALSE), "")</f>
        <v>Overseas chronograph Pink Gold</v>
      </c>
      <c r="F40" s="49" t="str">
        <f>IFERROR(VLOOKUP(TRIM(D40), Collection!$B$2:$D$1001, 3, FALSE), "")</f>
        <v>299,000 AED</v>
      </c>
      <c r="G40" s="49">
        <f t="shared" si="0"/>
        <v>299000</v>
      </c>
      <c r="H40" s="46" t="s">
        <v>192</v>
      </c>
      <c r="I40" s="46">
        <v>104802404</v>
      </c>
      <c r="J40" s="46" t="s">
        <v>193</v>
      </c>
      <c r="K40" s="46" t="s">
        <v>201</v>
      </c>
      <c r="L40" s="46" t="s">
        <v>1128</v>
      </c>
      <c r="M40" s="46" t="b">
        <f t="shared" si="1"/>
        <v>1</v>
      </c>
    </row>
    <row r="41" spans="1:13" ht="31.2" x14ac:dyDescent="0.3">
      <c r="A41" s="46" t="s">
        <v>189</v>
      </c>
      <c r="B41" s="46" t="s">
        <v>1128</v>
      </c>
      <c r="C41" s="46" t="s">
        <v>115</v>
      </c>
      <c r="D41" s="46" t="s">
        <v>16</v>
      </c>
      <c r="E41" s="46" t="str">
        <f>IFERROR(VLOOKUP(TRIM(D41), Collection!$B$2:$D$1001, 2, FALSE), "")</f>
        <v>Overseas chronograph</v>
      </c>
      <c r="F41" s="49" t="str">
        <f>IFERROR(VLOOKUP(TRIM(D41), Collection!$B$2:$D$1001, 3, FALSE), "")</f>
        <v>135,000 AED</v>
      </c>
      <c r="G41" s="49">
        <f t="shared" si="0"/>
        <v>135000</v>
      </c>
      <c r="H41" s="46" t="s">
        <v>192</v>
      </c>
      <c r="I41" s="46">
        <v>104853450</v>
      </c>
      <c r="J41" s="46" t="s">
        <v>193</v>
      </c>
      <c r="K41" s="46" t="s">
        <v>201</v>
      </c>
      <c r="L41" s="46" t="s">
        <v>1128</v>
      </c>
      <c r="M41" s="46" t="b">
        <f t="shared" si="1"/>
        <v>0</v>
      </c>
    </row>
    <row r="42" spans="1:13" ht="31.2" x14ac:dyDescent="0.3">
      <c r="A42" s="46" t="s">
        <v>189</v>
      </c>
      <c r="B42" s="46" t="s">
        <v>1128</v>
      </c>
      <c r="C42" s="46" t="s">
        <v>343</v>
      </c>
      <c r="D42" s="46" t="s">
        <v>200</v>
      </c>
      <c r="E42" s="46" t="str">
        <f>IFERROR(VLOOKUP(TRIM(D42), Collection!$B$2:$D$1001, 2, FALSE), "")</f>
        <v>Historiques 222</v>
      </c>
      <c r="F42" s="49" t="str">
        <f>IFERROR(VLOOKUP(TRIM(D42), Collection!$B$2:$D$1001, 3, FALSE), "")</f>
        <v>121,000 AED</v>
      </c>
      <c r="G42" s="49">
        <f t="shared" si="0"/>
        <v>121000</v>
      </c>
      <c r="H42" s="46" t="s">
        <v>192</v>
      </c>
      <c r="I42" s="46">
        <v>104769573</v>
      </c>
      <c r="J42" s="46" t="s">
        <v>193</v>
      </c>
      <c r="K42" s="46" t="s">
        <v>204</v>
      </c>
      <c r="L42" s="46" t="s">
        <v>1156</v>
      </c>
      <c r="M42" s="46" t="b">
        <f t="shared" si="1"/>
        <v>0</v>
      </c>
    </row>
    <row r="43" spans="1:13" ht="31.2" x14ac:dyDescent="0.3">
      <c r="A43" s="46" t="s">
        <v>189</v>
      </c>
      <c r="B43" s="46" t="s">
        <v>1128</v>
      </c>
      <c r="C43" s="46" t="s">
        <v>343</v>
      </c>
      <c r="D43" s="46" t="s">
        <v>200</v>
      </c>
      <c r="E43" s="46" t="str">
        <f>IFERROR(VLOOKUP(TRIM(D43), Collection!$B$2:$D$1001, 2, FALSE), "")</f>
        <v>Historiques 222</v>
      </c>
      <c r="F43" s="49" t="str">
        <f>IFERROR(VLOOKUP(TRIM(D43), Collection!$B$2:$D$1001, 3, FALSE), "")</f>
        <v>121,000 AED</v>
      </c>
      <c r="G43" s="49">
        <f t="shared" si="0"/>
        <v>121000</v>
      </c>
      <c r="H43" s="46" t="s">
        <v>192</v>
      </c>
      <c r="I43" s="46">
        <v>99219912</v>
      </c>
      <c r="J43" s="46" t="s">
        <v>193</v>
      </c>
      <c r="K43" s="46" t="s">
        <v>204</v>
      </c>
      <c r="L43" s="46" t="s">
        <v>1157</v>
      </c>
      <c r="M43" s="46" t="b">
        <f t="shared" si="1"/>
        <v>0</v>
      </c>
    </row>
    <row r="44" spans="1:13" ht="187.2" x14ac:dyDescent="0.3">
      <c r="A44" s="46" t="s">
        <v>189</v>
      </c>
      <c r="B44" s="46" t="s">
        <v>1128</v>
      </c>
      <c r="C44" s="46" t="s">
        <v>343</v>
      </c>
      <c r="D44" s="46" t="s">
        <v>160</v>
      </c>
      <c r="E44" s="46" t="str">
        <f>IFERROR(VLOOKUP(TRIM(D44), Collection!$B$2:$D$1001, 2, FALSE), "")</f>
        <v>Overseas dual time Black</v>
      </c>
      <c r="F44" s="49" t="str">
        <f>IFERROR(VLOOKUP(TRIM(D44), Collection!$B$2:$D$1001, 3, FALSE), "")</f>
        <v>117,000 AED</v>
      </c>
      <c r="G44" s="49">
        <f t="shared" si="0"/>
        <v>117000</v>
      </c>
      <c r="H44" s="46" t="s">
        <v>192</v>
      </c>
      <c r="I44" s="46">
        <v>104796476</v>
      </c>
      <c r="J44" s="46" t="s">
        <v>193</v>
      </c>
      <c r="K44" s="46" t="s">
        <v>201</v>
      </c>
      <c r="L44" s="46" t="s">
        <v>1158</v>
      </c>
      <c r="M44" s="46" t="b">
        <f t="shared" si="1"/>
        <v>0</v>
      </c>
    </row>
    <row r="45" spans="1:13" ht="46.8" x14ac:dyDescent="0.3">
      <c r="A45" s="46" t="s">
        <v>189</v>
      </c>
      <c r="B45" s="46" t="s">
        <v>1128</v>
      </c>
      <c r="C45" s="46" t="s">
        <v>350</v>
      </c>
      <c r="D45" s="46" t="s">
        <v>351</v>
      </c>
      <c r="E45" s="46" t="str">
        <f>IFERROR(VLOOKUP(TRIM(D45), Collection!$B$2:$D$1001, 2, FALSE), "")</f>
        <v>Overseas tourbillon skeleton</v>
      </c>
      <c r="F45" s="49" t="str">
        <f>IFERROR(VLOOKUP(TRIM(D45), Collection!$B$2:$D$1001, 3, FALSE), "")</f>
        <v>840,000 AED</v>
      </c>
      <c r="G45" s="49">
        <f t="shared" si="0"/>
        <v>840000</v>
      </c>
      <c r="H45" s="46" t="s">
        <v>192</v>
      </c>
      <c r="I45" s="46">
        <v>104689190</v>
      </c>
      <c r="J45" s="46" t="s">
        <v>193</v>
      </c>
      <c r="K45" s="46" t="s">
        <v>201</v>
      </c>
      <c r="L45" s="46" t="s">
        <v>1128</v>
      </c>
      <c r="M45" s="46" t="b">
        <f t="shared" si="1"/>
        <v>1</v>
      </c>
    </row>
    <row r="46" spans="1:13" ht="31.2" x14ac:dyDescent="0.3">
      <c r="A46" s="46" t="s">
        <v>189</v>
      </c>
      <c r="B46" s="46" t="s">
        <v>1128</v>
      </c>
      <c r="C46" s="46" t="s">
        <v>353</v>
      </c>
      <c r="D46" s="46" t="s">
        <v>56</v>
      </c>
      <c r="E46" s="46" t="str">
        <f>IFERROR(VLOOKUP(TRIM(D46), Collection!$B$2:$D$1001, 2, FALSE), "")</f>
        <v>Overseas dual time Blue</v>
      </c>
      <c r="F46" s="49" t="str">
        <f>IFERROR(VLOOKUP(TRIM(D46), Collection!$B$2:$D$1001, 3, FALSE), "")</f>
        <v>117,000 AED</v>
      </c>
      <c r="G46" s="49">
        <f t="shared" si="0"/>
        <v>117000</v>
      </c>
      <c r="H46" s="46" t="s">
        <v>192</v>
      </c>
      <c r="I46" s="46">
        <v>104687223</v>
      </c>
      <c r="J46" s="46" t="s">
        <v>193</v>
      </c>
      <c r="K46" s="46" t="s">
        <v>201</v>
      </c>
      <c r="L46" s="46" t="s">
        <v>1128</v>
      </c>
      <c r="M46" s="46" t="b">
        <f t="shared" si="1"/>
        <v>0</v>
      </c>
    </row>
    <row r="47" spans="1:13" ht="31.2" x14ac:dyDescent="0.3">
      <c r="A47" s="46" t="s">
        <v>189</v>
      </c>
      <c r="B47" s="46" t="s">
        <v>1128</v>
      </c>
      <c r="C47" s="46" t="s">
        <v>354</v>
      </c>
      <c r="D47" s="46" t="s">
        <v>120</v>
      </c>
      <c r="E47" s="46" t="str">
        <f>IFERROR(VLOOKUP(TRIM(D47), Collection!$B$2:$D$1001, 2, FALSE), "")</f>
        <v>Overseas self-winding</v>
      </c>
      <c r="F47" s="49" t="str">
        <f>IFERROR(VLOOKUP(TRIM(D47), Collection!$B$2:$D$1001, 3, FALSE), "")</f>
        <v>94,500 AED</v>
      </c>
      <c r="G47" s="49">
        <f t="shared" si="0"/>
        <v>94500</v>
      </c>
      <c r="H47" s="46" t="s">
        <v>192</v>
      </c>
      <c r="I47" s="46">
        <v>104609280</v>
      </c>
      <c r="J47" s="46" t="s">
        <v>193</v>
      </c>
      <c r="K47" s="46" t="s">
        <v>194</v>
      </c>
      <c r="L47" s="46" t="s">
        <v>1159</v>
      </c>
      <c r="M47" s="46" t="b">
        <f t="shared" si="1"/>
        <v>0</v>
      </c>
    </row>
    <row r="48" spans="1:13" ht="31.2" x14ac:dyDescent="0.3">
      <c r="A48" s="46" t="s">
        <v>189</v>
      </c>
      <c r="B48" s="46" t="s">
        <v>1128</v>
      </c>
      <c r="C48" s="46" t="s">
        <v>357</v>
      </c>
      <c r="D48" s="46" t="s">
        <v>200</v>
      </c>
      <c r="E48" s="46" t="str">
        <f>IFERROR(VLOOKUP(TRIM(D48), Collection!$B$2:$D$1001, 2, FALSE), "")</f>
        <v>Historiques 222</v>
      </c>
      <c r="F48" s="49" t="str">
        <f>IFERROR(VLOOKUP(TRIM(D48), Collection!$B$2:$D$1001, 3, FALSE), "")</f>
        <v>121,000 AED</v>
      </c>
      <c r="G48" s="49">
        <f t="shared" si="0"/>
        <v>121000</v>
      </c>
      <c r="H48" s="46" t="s">
        <v>192</v>
      </c>
      <c r="I48" s="46">
        <v>99351991</v>
      </c>
      <c r="J48" s="46" t="s">
        <v>193</v>
      </c>
      <c r="K48" s="46" t="s">
        <v>201</v>
      </c>
      <c r="L48" s="46" t="s">
        <v>1128</v>
      </c>
      <c r="M48" s="46" t="b">
        <f t="shared" si="1"/>
        <v>0</v>
      </c>
    </row>
    <row r="49" spans="1:13" ht="31.2" x14ac:dyDescent="0.3">
      <c r="A49" s="46" t="s">
        <v>189</v>
      </c>
      <c r="B49" s="46" t="s">
        <v>1128</v>
      </c>
      <c r="C49" s="46" t="s">
        <v>357</v>
      </c>
      <c r="D49" s="46" t="s">
        <v>209</v>
      </c>
      <c r="E49" s="46" t="str">
        <f>IFERROR(VLOOKUP(TRIM(D49), Collection!$B$2:$D$1001, 2, FALSE), "")</f>
        <v>Overseas self-winding</v>
      </c>
      <c r="F49" s="49" t="str">
        <f>IFERROR(VLOOKUP(TRIM(D49), Collection!$B$2:$D$1001, 3, FALSE), "")</f>
        <v>94,500 AED</v>
      </c>
      <c r="G49" s="49">
        <f t="shared" si="0"/>
        <v>94500</v>
      </c>
      <c r="H49" s="46" t="s">
        <v>192</v>
      </c>
      <c r="I49" s="46">
        <v>104572070</v>
      </c>
      <c r="J49" s="46" t="s">
        <v>193</v>
      </c>
      <c r="K49" s="46" t="s">
        <v>201</v>
      </c>
      <c r="L49" s="46" t="s">
        <v>1128</v>
      </c>
      <c r="M49" s="46" t="b">
        <f t="shared" si="1"/>
        <v>0</v>
      </c>
    </row>
    <row r="50" spans="1:13" ht="31.2" x14ac:dyDescent="0.3">
      <c r="A50" s="46" t="s">
        <v>189</v>
      </c>
      <c r="B50" s="46" t="s">
        <v>1128</v>
      </c>
      <c r="C50" s="46" t="s">
        <v>357</v>
      </c>
      <c r="D50" s="46" t="s">
        <v>200</v>
      </c>
      <c r="E50" s="46" t="str">
        <f>IFERROR(VLOOKUP(TRIM(D50), Collection!$B$2:$D$1001, 2, FALSE), "")</f>
        <v>Historiques 222</v>
      </c>
      <c r="F50" s="49" t="str">
        <f>IFERROR(VLOOKUP(TRIM(D50), Collection!$B$2:$D$1001, 3, FALSE), "")</f>
        <v>121,000 AED</v>
      </c>
      <c r="G50" s="49">
        <f t="shared" si="0"/>
        <v>121000</v>
      </c>
      <c r="H50" s="46" t="s">
        <v>192</v>
      </c>
      <c r="I50" s="46">
        <v>104576008</v>
      </c>
      <c r="J50" s="46" t="s">
        <v>193</v>
      </c>
      <c r="K50" s="46" t="s">
        <v>194</v>
      </c>
      <c r="L50" s="46">
        <v>222</v>
      </c>
      <c r="M50" s="46" t="b">
        <f t="shared" si="1"/>
        <v>0</v>
      </c>
    </row>
    <row r="51" spans="1:13" ht="31.2" x14ac:dyDescent="0.3">
      <c r="A51" s="46" t="s">
        <v>189</v>
      </c>
      <c r="B51" s="46" t="s">
        <v>1128</v>
      </c>
      <c r="C51" s="47">
        <v>45964</v>
      </c>
      <c r="D51" s="46" t="s">
        <v>200</v>
      </c>
      <c r="E51" s="46" t="str">
        <f>IFERROR(VLOOKUP(TRIM(D51), Collection!$B$2:$D$1001, 2, FALSE), "")</f>
        <v>Historiques 222</v>
      </c>
      <c r="F51" s="49" t="str">
        <f>IFERROR(VLOOKUP(TRIM(D51), Collection!$B$2:$D$1001, 3, FALSE), "")</f>
        <v>121,000 AED</v>
      </c>
      <c r="G51" s="49">
        <f t="shared" si="0"/>
        <v>121000</v>
      </c>
      <c r="H51" s="46" t="s">
        <v>192</v>
      </c>
      <c r="I51" s="46">
        <v>104513303</v>
      </c>
      <c r="J51" s="46" t="s">
        <v>193</v>
      </c>
      <c r="K51" s="46" t="s">
        <v>204</v>
      </c>
      <c r="L51" s="46" t="s">
        <v>1160</v>
      </c>
      <c r="M51" s="46" t="b">
        <f t="shared" si="1"/>
        <v>0</v>
      </c>
    </row>
    <row r="52" spans="1:13" ht="31.2" x14ac:dyDescent="0.3">
      <c r="A52" s="46" t="s">
        <v>189</v>
      </c>
      <c r="B52" s="46" t="s">
        <v>1128</v>
      </c>
      <c r="C52" s="47">
        <v>45964</v>
      </c>
      <c r="D52" s="46" t="s">
        <v>200</v>
      </c>
      <c r="E52" s="46" t="str">
        <f>IFERROR(VLOOKUP(TRIM(D52), Collection!$B$2:$D$1001, 2, FALSE), "")</f>
        <v>Historiques 222</v>
      </c>
      <c r="F52" s="49" t="str">
        <f>IFERROR(VLOOKUP(TRIM(D52), Collection!$B$2:$D$1001, 3, FALSE), "")</f>
        <v>121,000 AED</v>
      </c>
      <c r="G52" s="49">
        <f t="shared" si="0"/>
        <v>121000</v>
      </c>
      <c r="H52" s="46" t="s">
        <v>192</v>
      </c>
      <c r="I52" s="46">
        <v>103058008</v>
      </c>
      <c r="J52" s="46" t="s">
        <v>193</v>
      </c>
      <c r="K52" s="46" t="s">
        <v>201</v>
      </c>
      <c r="L52" s="46" t="s">
        <v>1128</v>
      </c>
      <c r="M52" s="46" t="b">
        <f t="shared" si="1"/>
        <v>0</v>
      </c>
    </row>
    <row r="53" spans="1:13" ht="31.2" x14ac:dyDescent="0.3">
      <c r="A53" s="46" t="s">
        <v>189</v>
      </c>
      <c r="B53" s="46" t="s">
        <v>1128</v>
      </c>
      <c r="C53" s="47">
        <v>45964</v>
      </c>
      <c r="D53" s="46" t="s">
        <v>200</v>
      </c>
      <c r="E53" s="46" t="str">
        <f>IFERROR(VLOOKUP(TRIM(D53), Collection!$B$2:$D$1001, 2, FALSE), "")</f>
        <v>Historiques 222</v>
      </c>
      <c r="F53" s="49" t="str">
        <f>IFERROR(VLOOKUP(TRIM(D53), Collection!$B$2:$D$1001, 3, FALSE), "")</f>
        <v>121,000 AED</v>
      </c>
      <c r="G53" s="49">
        <f t="shared" si="0"/>
        <v>121000</v>
      </c>
      <c r="H53" s="46" t="s">
        <v>192</v>
      </c>
      <c r="I53" s="46">
        <v>104075516</v>
      </c>
      <c r="J53" s="46" t="s">
        <v>248</v>
      </c>
      <c r="K53" s="46" t="s">
        <v>194</v>
      </c>
      <c r="L53" s="46" t="s">
        <v>1161</v>
      </c>
      <c r="M53" s="46" t="b">
        <f t="shared" si="1"/>
        <v>0</v>
      </c>
    </row>
    <row r="54" spans="1:13" ht="31.2" x14ac:dyDescent="0.3">
      <c r="A54" s="46" t="s">
        <v>189</v>
      </c>
      <c r="B54" s="46" t="s">
        <v>1128</v>
      </c>
      <c r="C54" s="47">
        <v>45964</v>
      </c>
      <c r="D54" s="46" t="s">
        <v>200</v>
      </c>
      <c r="E54" s="46" t="str">
        <f>IFERROR(VLOOKUP(TRIM(D54), Collection!$B$2:$D$1001, 2, FALSE), "")</f>
        <v>Historiques 222</v>
      </c>
      <c r="F54" s="49" t="str">
        <f>IFERROR(VLOOKUP(TRIM(D54), Collection!$B$2:$D$1001, 3, FALSE), "")</f>
        <v>121,000 AED</v>
      </c>
      <c r="G54" s="49">
        <f t="shared" si="0"/>
        <v>121000</v>
      </c>
      <c r="H54" s="46" t="s">
        <v>192</v>
      </c>
      <c r="I54" s="46">
        <v>101055665</v>
      </c>
      <c r="J54" s="46" t="s">
        <v>193</v>
      </c>
      <c r="K54" s="46" t="s">
        <v>201</v>
      </c>
      <c r="L54" s="46" t="s">
        <v>1128</v>
      </c>
      <c r="M54" s="46" t="b">
        <f t="shared" si="1"/>
        <v>0</v>
      </c>
    </row>
    <row r="55" spans="1:13" ht="31.2" x14ac:dyDescent="0.3">
      <c r="A55" s="46" t="s">
        <v>189</v>
      </c>
      <c r="B55" s="46" t="s">
        <v>1128</v>
      </c>
      <c r="C55" s="47">
        <v>45872</v>
      </c>
      <c r="D55" s="46" t="s">
        <v>200</v>
      </c>
      <c r="E55" s="46" t="str">
        <f>IFERROR(VLOOKUP(TRIM(D55), Collection!$B$2:$D$1001, 2, FALSE), "")</f>
        <v>Historiques 222</v>
      </c>
      <c r="F55" s="49" t="str">
        <f>IFERROR(VLOOKUP(TRIM(D55), Collection!$B$2:$D$1001, 3, FALSE), "")</f>
        <v>121,000 AED</v>
      </c>
      <c r="G55" s="49">
        <f t="shared" si="0"/>
        <v>121000</v>
      </c>
      <c r="H55" s="46" t="s">
        <v>192</v>
      </c>
      <c r="I55" s="46">
        <v>104506669</v>
      </c>
      <c r="J55" s="46" t="s">
        <v>193</v>
      </c>
      <c r="K55" s="46" t="s">
        <v>194</v>
      </c>
      <c r="L55" s="46">
        <v>222</v>
      </c>
      <c r="M55" s="46" t="b">
        <f t="shared" si="1"/>
        <v>0</v>
      </c>
    </row>
    <row r="56" spans="1:13" ht="31.2" x14ac:dyDescent="0.3">
      <c r="A56" s="46" t="s">
        <v>189</v>
      </c>
      <c r="B56" s="46" t="s">
        <v>1128</v>
      </c>
      <c r="C56" s="47">
        <v>45872</v>
      </c>
      <c r="D56" s="46" t="s">
        <v>370</v>
      </c>
      <c r="E56" s="46" t="str">
        <f>IFERROR(VLOOKUP(TRIM(D56), Collection!$B$2:$D$1001, 2, FALSE), "")</f>
        <v>Traditionnelle tourbillon</v>
      </c>
      <c r="F56" s="49" t="str">
        <f>IFERROR(VLOOKUP(TRIM(D56), Collection!$B$2:$D$1001, 3, FALSE), "")</f>
        <v>560,000 AED</v>
      </c>
      <c r="G56" s="49">
        <f t="shared" si="0"/>
        <v>560000</v>
      </c>
      <c r="H56" s="46" t="s">
        <v>192</v>
      </c>
      <c r="I56" s="46">
        <v>104509438</v>
      </c>
      <c r="J56" s="46" t="s">
        <v>193</v>
      </c>
      <c r="K56" s="46" t="s">
        <v>194</v>
      </c>
      <c r="L56" s="46"/>
      <c r="M56" s="46" t="b">
        <f t="shared" si="1"/>
        <v>0</v>
      </c>
    </row>
    <row r="57" spans="1:13" ht="31.2" x14ac:dyDescent="0.3">
      <c r="A57" s="46" t="s">
        <v>189</v>
      </c>
      <c r="B57" s="46" t="s">
        <v>1128</v>
      </c>
      <c r="C57" s="47">
        <v>45872</v>
      </c>
      <c r="D57" s="46" t="s">
        <v>147</v>
      </c>
      <c r="E57" s="46" t="str">
        <f>IFERROR(VLOOKUP(TRIM(D57), Collection!$B$2:$D$1001, 2, FALSE), "")</f>
        <v>Overseas dual time Green</v>
      </c>
      <c r="F57" s="49" t="str">
        <f>IFERROR(VLOOKUP(TRIM(D57), Collection!$B$2:$D$1001, 3, FALSE), "")</f>
        <v>286,000 AED</v>
      </c>
      <c r="G57" s="49">
        <f t="shared" si="0"/>
        <v>286000</v>
      </c>
      <c r="H57" s="46" t="s">
        <v>192</v>
      </c>
      <c r="I57" s="46">
        <v>105118480</v>
      </c>
      <c r="J57" s="46" t="s">
        <v>193</v>
      </c>
      <c r="K57" s="46" t="s">
        <v>194</v>
      </c>
      <c r="L57" s="46" t="s">
        <v>1162</v>
      </c>
      <c r="M57" s="46" t="b">
        <f t="shared" si="1"/>
        <v>0</v>
      </c>
    </row>
    <row r="58" spans="1:13" ht="31.2" x14ac:dyDescent="0.3">
      <c r="A58" s="46" t="s">
        <v>189</v>
      </c>
      <c r="B58" s="46" t="s">
        <v>1128</v>
      </c>
      <c r="C58" s="47">
        <v>45841</v>
      </c>
      <c r="D58" s="46" t="s">
        <v>200</v>
      </c>
      <c r="E58" s="46" t="str">
        <f>IFERROR(VLOOKUP(TRIM(D58), Collection!$B$2:$D$1001, 2, FALSE), "")</f>
        <v>Historiques 222</v>
      </c>
      <c r="F58" s="49" t="str">
        <f>IFERROR(VLOOKUP(TRIM(D58), Collection!$B$2:$D$1001, 3, FALSE), "")</f>
        <v>121,000 AED</v>
      </c>
      <c r="G58" s="49">
        <f t="shared" si="0"/>
        <v>121000</v>
      </c>
      <c r="H58" s="46" t="s">
        <v>192</v>
      </c>
      <c r="I58" s="46">
        <v>102277427</v>
      </c>
      <c r="J58" s="46" t="s">
        <v>193</v>
      </c>
      <c r="K58" s="46" t="s">
        <v>204</v>
      </c>
      <c r="L58" s="46" t="s">
        <v>1163</v>
      </c>
      <c r="M58" s="46" t="b">
        <f t="shared" si="1"/>
        <v>0</v>
      </c>
    </row>
    <row r="59" spans="1:13" ht="31.2" x14ac:dyDescent="0.3">
      <c r="A59" s="46" t="s">
        <v>189</v>
      </c>
      <c r="B59" s="46" t="s">
        <v>1128</v>
      </c>
      <c r="C59" s="47">
        <v>45841</v>
      </c>
      <c r="D59" s="46" t="s">
        <v>200</v>
      </c>
      <c r="E59" s="46" t="str">
        <f>IFERROR(VLOOKUP(TRIM(D59), Collection!$B$2:$D$1001, 2, FALSE), "")</f>
        <v>Historiques 222</v>
      </c>
      <c r="F59" s="49" t="str">
        <f>IFERROR(VLOOKUP(TRIM(D59), Collection!$B$2:$D$1001, 3, FALSE), "")</f>
        <v>121,000 AED</v>
      </c>
      <c r="G59" s="49">
        <f t="shared" si="0"/>
        <v>121000</v>
      </c>
      <c r="H59" s="46" t="s">
        <v>192</v>
      </c>
      <c r="I59" s="46">
        <v>91002249</v>
      </c>
      <c r="J59" s="46" t="s">
        <v>193</v>
      </c>
      <c r="K59" s="46" t="s">
        <v>204</v>
      </c>
      <c r="L59" s="46" t="s">
        <v>1164</v>
      </c>
      <c r="M59" s="46" t="b">
        <f t="shared" si="1"/>
        <v>0</v>
      </c>
    </row>
    <row r="60" spans="1:13" ht="31.2" x14ac:dyDescent="0.3">
      <c r="A60" s="46" t="s">
        <v>189</v>
      </c>
      <c r="B60" s="46" t="s">
        <v>1128</v>
      </c>
      <c r="C60" s="47">
        <v>45841</v>
      </c>
      <c r="D60" s="46" t="s">
        <v>200</v>
      </c>
      <c r="E60" s="46" t="str">
        <f>IFERROR(VLOOKUP(TRIM(D60), Collection!$B$2:$D$1001, 2, FALSE), "")</f>
        <v>Historiques 222</v>
      </c>
      <c r="F60" s="49" t="str">
        <f>IFERROR(VLOOKUP(TRIM(D60), Collection!$B$2:$D$1001, 3, FALSE), "")</f>
        <v>121,000 AED</v>
      </c>
      <c r="G60" s="49">
        <f t="shared" si="0"/>
        <v>121000</v>
      </c>
      <c r="H60" s="46" t="s">
        <v>192</v>
      </c>
      <c r="I60" s="46">
        <v>104481449</v>
      </c>
      <c r="J60" s="46" t="s">
        <v>193</v>
      </c>
      <c r="K60" s="46" t="s">
        <v>204</v>
      </c>
      <c r="L60" s="46" t="s">
        <v>1165</v>
      </c>
      <c r="M60" s="46" t="b">
        <f t="shared" si="1"/>
        <v>0</v>
      </c>
    </row>
    <row r="61" spans="1:13" ht="31.2" x14ac:dyDescent="0.3">
      <c r="A61" s="46" t="s">
        <v>189</v>
      </c>
      <c r="B61" s="46" t="s">
        <v>1128</v>
      </c>
      <c r="C61" s="47">
        <v>45841</v>
      </c>
      <c r="D61" s="46" t="s">
        <v>200</v>
      </c>
      <c r="E61" s="46" t="str">
        <f>IFERROR(VLOOKUP(TRIM(D61), Collection!$B$2:$D$1001, 2, FALSE), "")</f>
        <v>Historiques 222</v>
      </c>
      <c r="F61" s="49" t="str">
        <f>IFERROR(VLOOKUP(TRIM(D61), Collection!$B$2:$D$1001, 3, FALSE), "")</f>
        <v>121,000 AED</v>
      </c>
      <c r="G61" s="49">
        <f t="shared" si="0"/>
        <v>121000</v>
      </c>
      <c r="H61" s="46" t="s">
        <v>192</v>
      </c>
      <c r="I61" s="46">
        <v>104455540</v>
      </c>
      <c r="J61" s="46" t="s">
        <v>193</v>
      </c>
      <c r="K61" s="46" t="s">
        <v>204</v>
      </c>
      <c r="L61" s="46" t="s">
        <v>1166</v>
      </c>
      <c r="M61" s="46" t="b">
        <f t="shared" si="1"/>
        <v>0</v>
      </c>
    </row>
    <row r="62" spans="1:13" ht="31.2" x14ac:dyDescent="0.3">
      <c r="A62" s="46" t="s">
        <v>189</v>
      </c>
      <c r="B62" s="46" t="s">
        <v>1128</v>
      </c>
      <c r="C62" s="47">
        <v>45841</v>
      </c>
      <c r="D62" s="46" t="s">
        <v>200</v>
      </c>
      <c r="E62" s="46" t="str">
        <f>IFERROR(VLOOKUP(TRIM(D62), Collection!$B$2:$D$1001, 2, FALSE), "")</f>
        <v>Historiques 222</v>
      </c>
      <c r="F62" s="49" t="str">
        <f>IFERROR(VLOOKUP(TRIM(D62), Collection!$B$2:$D$1001, 3, FALSE), "")</f>
        <v>121,000 AED</v>
      </c>
      <c r="G62" s="49">
        <f t="shared" si="0"/>
        <v>121000</v>
      </c>
      <c r="H62" s="46" t="s">
        <v>192</v>
      </c>
      <c r="I62" s="46">
        <v>103831079</v>
      </c>
      <c r="J62" s="46" t="s">
        <v>193</v>
      </c>
      <c r="K62" s="46" t="s">
        <v>194</v>
      </c>
      <c r="L62" s="46">
        <v>222</v>
      </c>
      <c r="M62" s="46" t="b">
        <f t="shared" si="1"/>
        <v>0</v>
      </c>
    </row>
    <row r="63" spans="1:13" ht="31.2" x14ac:dyDescent="0.3">
      <c r="A63" s="46" t="s">
        <v>189</v>
      </c>
      <c r="B63" s="46" t="s">
        <v>1128</v>
      </c>
      <c r="C63" s="47">
        <v>45841</v>
      </c>
      <c r="D63" s="46" t="s">
        <v>200</v>
      </c>
      <c r="E63" s="46" t="str">
        <f>IFERROR(VLOOKUP(TRIM(D63), Collection!$B$2:$D$1001, 2, FALSE), "")</f>
        <v>Historiques 222</v>
      </c>
      <c r="F63" s="49" t="str">
        <f>IFERROR(VLOOKUP(TRIM(D63), Collection!$B$2:$D$1001, 3, FALSE), "")</f>
        <v>121,000 AED</v>
      </c>
      <c r="G63" s="49">
        <f t="shared" si="0"/>
        <v>121000</v>
      </c>
      <c r="H63" s="46" t="s">
        <v>192</v>
      </c>
      <c r="I63" s="46">
        <v>104909110</v>
      </c>
      <c r="J63" s="46" t="s">
        <v>193</v>
      </c>
      <c r="K63" s="46" t="s">
        <v>194</v>
      </c>
      <c r="L63" s="46">
        <v>222</v>
      </c>
      <c r="M63" s="46" t="b">
        <f t="shared" si="1"/>
        <v>0</v>
      </c>
    </row>
    <row r="64" spans="1:13" ht="31.2" x14ac:dyDescent="0.3">
      <c r="A64" s="46" t="s">
        <v>189</v>
      </c>
      <c r="B64" s="46" t="s">
        <v>1128</v>
      </c>
      <c r="C64" s="47">
        <v>45811</v>
      </c>
      <c r="D64" s="46" t="s">
        <v>120</v>
      </c>
      <c r="E64" s="46" t="str">
        <f>IFERROR(VLOOKUP(TRIM(D64), Collection!$B$2:$D$1001, 2, FALSE), "")</f>
        <v>Overseas self-winding</v>
      </c>
      <c r="F64" s="49" t="str">
        <f>IFERROR(VLOOKUP(TRIM(D64), Collection!$B$2:$D$1001, 3, FALSE), "")</f>
        <v>94,500 AED</v>
      </c>
      <c r="G64" s="49">
        <f t="shared" si="0"/>
        <v>94500</v>
      </c>
      <c r="H64" s="46" t="s">
        <v>192</v>
      </c>
      <c r="I64" s="46">
        <v>104241748</v>
      </c>
      <c r="J64" s="46" t="s">
        <v>193</v>
      </c>
      <c r="K64" s="46" t="s">
        <v>204</v>
      </c>
      <c r="L64" s="46" t="s">
        <v>1167</v>
      </c>
      <c r="M64" s="46" t="b">
        <f t="shared" si="1"/>
        <v>0</v>
      </c>
    </row>
    <row r="65" spans="1:13" ht="31.2" x14ac:dyDescent="0.3">
      <c r="A65" s="46" t="s">
        <v>189</v>
      </c>
      <c r="B65" s="46" t="s">
        <v>1128</v>
      </c>
      <c r="C65" s="47">
        <v>45780</v>
      </c>
      <c r="D65" s="46" t="s">
        <v>200</v>
      </c>
      <c r="E65" s="46" t="str">
        <f>IFERROR(VLOOKUP(TRIM(D65), Collection!$B$2:$D$1001, 2, FALSE), "")</f>
        <v>Historiques 222</v>
      </c>
      <c r="F65" s="49" t="str">
        <f>IFERROR(VLOOKUP(TRIM(D65), Collection!$B$2:$D$1001, 3, FALSE), "")</f>
        <v>121,000 AED</v>
      </c>
      <c r="G65" s="49">
        <f t="shared" si="0"/>
        <v>121000</v>
      </c>
      <c r="H65" s="46" t="s">
        <v>192</v>
      </c>
      <c r="I65" s="46">
        <v>104457258</v>
      </c>
      <c r="J65" s="46" t="s">
        <v>193</v>
      </c>
      <c r="K65" s="46" t="s">
        <v>194</v>
      </c>
      <c r="L65" s="46">
        <v>222</v>
      </c>
      <c r="M65" s="46" t="b">
        <f t="shared" si="1"/>
        <v>0</v>
      </c>
    </row>
    <row r="66" spans="1:13" ht="31.2" x14ac:dyDescent="0.3">
      <c r="A66" s="46" t="s">
        <v>189</v>
      </c>
      <c r="B66" s="46" t="s">
        <v>1128</v>
      </c>
      <c r="C66" s="47">
        <v>45780</v>
      </c>
      <c r="D66" s="46" t="s">
        <v>200</v>
      </c>
      <c r="E66" s="46" t="str">
        <f>IFERROR(VLOOKUP(TRIM(D66), Collection!$B$2:$D$1001, 2, FALSE), "")</f>
        <v>Historiques 222</v>
      </c>
      <c r="F66" s="49" t="str">
        <f>IFERROR(VLOOKUP(TRIM(D66), Collection!$B$2:$D$1001, 3, FALSE), "")</f>
        <v>121,000 AED</v>
      </c>
      <c r="G66" s="49">
        <f t="shared" ref="G66:G129" si="2">IFERROR(VALUE(SUBSTITUTE(SUBSTITUTE(F66, "Price", ""), "AED", "")), "")</f>
        <v>121000</v>
      </c>
      <c r="H66" s="46" t="s">
        <v>192</v>
      </c>
      <c r="I66" s="46">
        <v>104482467</v>
      </c>
      <c r="J66" s="46" t="s">
        <v>193</v>
      </c>
      <c r="K66" s="46" t="s">
        <v>194</v>
      </c>
      <c r="L66" s="46">
        <v>222</v>
      </c>
      <c r="M66" s="46" t="b">
        <f t="shared" ref="M66:M129" si="3">IF(COUNTIF($R$3:$R$100, D66) &gt; 0, TRUE, FALSE)</f>
        <v>0</v>
      </c>
    </row>
    <row r="67" spans="1:13" ht="31.2" x14ac:dyDescent="0.3">
      <c r="A67" s="46" t="s">
        <v>189</v>
      </c>
      <c r="B67" s="46" t="s">
        <v>1128</v>
      </c>
      <c r="C67" s="47">
        <v>45750</v>
      </c>
      <c r="D67" s="46" t="s">
        <v>200</v>
      </c>
      <c r="E67" s="46" t="str">
        <f>IFERROR(VLOOKUP(TRIM(D67), Collection!$B$2:$D$1001, 2, FALSE), "")</f>
        <v>Historiques 222</v>
      </c>
      <c r="F67" s="49" t="str">
        <f>IFERROR(VLOOKUP(TRIM(D67), Collection!$B$2:$D$1001, 3, FALSE), "")</f>
        <v>121,000 AED</v>
      </c>
      <c r="G67" s="49">
        <f t="shared" si="2"/>
        <v>121000</v>
      </c>
      <c r="H67" s="46" t="s">
        <v>192</v>
      </c>
      <c r="I67" s="46">
        <v>104455380</v>
      </c>
      <c r="J67" s="46" t="s">
        <v>193</v>
      </c>
      <c r="K67" s="46" t="s">
        <v>204</v>
      </c>
      <c r="L67" s="46" t="s">
        <v>1168</v>
      </c>
      <c r="M67" s="46" t="b">
        <f t="shared" si="3"/>
        <v>0</v>
      </c>
    </row>
    <row r="68" spans="1:13" ht="46.8" x14ac:dyDescent="0.3">
      <c r="A68" s="46" t="s">
        <v>189</v>
      </c>
      <c r="B68" s="46" t="s">
        <v>1128</v>
      </c>
      <c r="C68" s="47">
        <v>45750</v>
      </c>
      <c r="D68" s="46" t="s">
        <v>154</v>
      </c>
      <c r="E68" s="46" t="str">
        <f>IFERROR(VLOOKUP(TRIM(D68), Collection!$B$2:$D$1001, 2, FALSE), "")</f>
        <v>Overseas self-winding Green</v>
      </c>
      <c r="F68" s="49" t="str">
        <f>IFERROR(VLOOKUP(TRIM(D68), Collection!$B$2:$D$1001, 3, FALSE), "")</f>
        <v>229,000 AED</v>
      </c>
      <c r="G68" s="49">
        <f t="shared" si="2"/>
        <v>229000</v>
      </c>
      <c r="H68" s="46" t="s">
        <v>192</v>
      </c>
      <c r="I68" s="46">
        <v>104455689</v>
      </c>
      <c r="J68" s="46" t="s">
        <v>193</v>
      </c>
      <c r="K68" s="46" t="s">
        <v>201</v>
      </c>
      <c r="L68" s="46" t="s">
        <v>1169</v>
      </c>
      <c r="M68" s="46" t="b">
        <f t="shared" si="3"/>
        <v>0</v>
      </c>
    </row>
    <row r="69" spans="1:13" ht="31.2" x14ac:dyDescent="0.3">
      <c r="A69" s="46" t="s">
        <v>189</v>
      </c>
      <c r="B69" s="46" t="s">
        <v>1128</v>
      </c>
      <c r="C69" s="47">
        <v>45750</v>
      </c>
      <c r="D69" s="46" t="s">
        <v>147</v>
      </c>
      <c r="E69" s="46" t="str">
        <f>IFERROR(VLOOKUP(TRIM(D69), Collection!$B$2:$D$1001, 2, FALSE), "")</f>
        <v>Overseas dual time Green</v>
      </c>
      <c r="F69" s="49" t="str">
        <f>IFERROR(VLOOKUP(TRIM(D69), Collection!$B$2:$D$1001, 3, FALSE), "")</f>
        <v>286,000 AED</v>
      </c>
      <c r="G69" s="49">
        <f t="shared" si="2"/>
        <v>286000</v>
      </c>
      <c r="H69" s="46" t="s">
        <v>192</v>
      </c>
      <c r="I69" s="46">
        <v>104455689</v>
      </c>
      <c r="J69" s="46" t="s">
        <v>193</v>
      </c>
      <c r="K69" s="46" t="s">
        <v>201</v>
      </c>
      <c r="L69" s="46" t="s">
        <v>1128</v>
      </c>
      <c r="M69" s="46" t="b">
        <f t="shared" si="3"/>
        <v>0</v>
      </c>
    </row>
    <row r="70" spans="1:13" ht="31.2" x14ac:dyDescent="0.3">
      <c r="A70" s="46" t="s">
        <v>189</v>
      </c>
      <c r="B70" s="46" t="s">
        <v>1128</v>
      </c>
      <c r="C70" s="47">
        <v>45750</v>
      </c>
      <c r="D70" s="46" t="s">
        <v>200</v>
      </c>
      <c r="E70" s="46" t="str">
        <f>IFERROR(VLOOKUP(TRIM(D70), Collection!$B$2:$D$1001, 2, FALSE), "")</f>
        <v>Historiques 222</v>
      </c>
      <c r="F70" s="49" t="str">
        <f>IFERROR(VLOOKUP(TRIM(D70), Collection!$B$2:$D$1001, 3, FALSE), "")</f>
        <v>121,000 AED</v>
      </c>
      <c r="G70" s="49">
        <f t="shared" si="2"/>
        <v>121000</v>
      </c>
      <c r="H70" s="46" t="s">
        <v>192</v>
      </c>
      <c r="I70" s="46">
        <v>104455472</v>
      </c>
      <c r="J70" s="46" t="s">
        <v>193</v>
      </c>
      <c r="K70" s="46" t="s">
        <v>201</v>
      </c>
      <c r="L70" s="46" t="s">
        <v>1128</v>
      </c>
      <c r="M70" s="46" t="b">
        <f t="shared" si="3"/>
        <v>0</v>
      </c>
    </row>
    <row r="71" spans="1:13" ht="31.2" x14ac:dyDescent="0.3">
      <c r="A71" s="46" t="s">
        <v>189</v>
      </c>
      <c r="B71" s="46" t="s">
        <v>1128</v>
      </c>
      <c r="C71" s="47">
        <v>45750</v>
      </c>
      <c r="D71" s="46" t="s">
        <v>200</v>
      </c>
      <c r="E71" s="46" t="str">
        <f>IFERROR(VLOOKUP(TRIM(D71), Collection!$B$2:$D$1001, 2, FALSE), "")</f>
        <v>Historiques 222</v>
      </c>
      <c r="F71" s="49" t="str">
        <f>IFERROR(VLOOKUP(TRIM(D71), Collection!$B$2:$D$1001, 3, FALSE), "")</f>
        <v>121,000 AED</v>
      </c>
      <c r="G71" s="49">
        <f t="shared" si="2"/>
        <v>121000</v>
      </c>
      <c r="H71" s="46" t="s">
        <v>192</v>
      </c>
      <c r="I71" s="46">
        <v>91002262</v>
      </c>
      <c r="J71" s="46" t="s">
        <v>193</v>
      </c>
      <c r="K71" s="46" t="s">
        <v>201</v>
      </c>
      <c r="L71" s="46" t="s">
        <v>1128</v>
      </c>
      <c r="M71" s="46" t="b">
        <f t="shared" si="3"/>
        <v>0</v>
      </c>
    </row>
    <row r="72" spans="1:13" ht="62.4" x14ac:dyDescent="0.3">
      <c r="A72" s="46" t="s">
        <v>189</v>
      </c>
      <c r="B72" s="46" t="s">
        <v>1128</v>
      </c>
      <c r="C72" s="47">
        <v>45750</v>
      </c>
      <c r="D72" s="46" t="s">
        <v>160</v>
      </c>
      <c r="E72" s="46" t="str">
        <f>IFERROR(VLOOKUP(TRIM(D72), Collection!$B$2:$D$1001, 2, FALSE), "")</f>
        <v>Overseas dual time Black</v>
      </c>
      <c r="F72" s="49" t="str">
        <f>IFERROR(VLOOKUP(TRIM(D72), Collection!$B$2:$D$1001, 3, FALSE), "")</f>
        <v>117,000 AED</v>
      </c>
      <c r="G72" s="49">
        <f t="shared" si="2"/>
        <v>117000</v>
      </c>
      <c r="H72" s="46" t="s">
        <v>192</v>
      </c>
      <c r="I72" s="46">
        <v>104459323</v>
      </c>
      <c r="J72" s="46" t="s">
        <v>193</v>
      </c>
      <c r="K72" s="46" t="s">
        <v>194</v>
      </c>
      <c r="L72" s="46" t="s">
        <v>1170</v>
      </c>
      <c r="M72" s="46" t="b">
        <f t="shared" si="3"/>
        <v>0</v>
      </c>
    </row>
    <row r="73" spans="1:13" ht="31.2" x14ac:dyDescent="0.3">
      <c r="A73" s="46" t="s">
        <v>189</v>
      </c>
      <c r="B73" s="46" t="s">
        <v>1128</v>
      </c>
      <c r="C73" s="47">
        <v>45660</v>
      </c>
      <c r="D73" s="46" t="s">
        <v>200</v>
      </c>
      <c r="E73" s="46" t="str">
        <f>IFERROR(VLOOKUP(TRIM(D73), Collection!$B$2:$D$1001, 2, FALSE), "")</f>
        <v>Historiques 222</v>
      </c>
      <c r="F73" s="49" t="str">
        <f>IFERROR(VLOOKUP(TRIM(D73), Collection!$B$2:$D$1001, 3, FALSE), "")</f>
        <v>121,000 AED</v>
      </c>
      <c r="G73" s="49">
        <f t="shared" si="2"/>
        <v>121000</v>
      </c>
      <c r="H73" s="46" t="s">
        <v>192</v>
      </c>
      <c r="I73" s="46">
        <v>104397738</v>
      </c>
      <c r="J73" s="46" t="s">
        <v>193</v>
      </c>
      <c r="K73" s="46" t="s">
        <v>194</v>
      </c>
      <c r="L73" s="46" t="s">
        <v>1171</v>
      </c>
      <c r="M73" s="46" t="b">
        <f t="shared" si="3"/>
        <v>0</v>
      </c>
    </row>
    <row r="74" spans="1:13" ht="31.2" x14ac:dyDescent="0.3">
      <c r="A74" s="46" t="s">
        <v>189</v>
      </c>
      <c r="B74" s="46" t="s">
        <v>1128</v>
      </c>
      <c r="C74" s="47">
        <v>45660</v>
      </c>
      <c r="D74" s="46" t="s">
        <v>80</v>
      </c>
      <c r="E74" s="46" t="str">
        <f>IFERROR(VLOOKUP(TRIM(D74), Collection!$B$2:$D$1001, 2, FALSE), "")</f>
        <v>Historiques 222</v>
      </c>
      <c r="F74" s="49" t="str">
        <f>IFERROR(VLOOKUP(TRIM(D74), Collection!$B$2:$D$1001, 3, FALSE), "")</f>
        <v>279,000 AED</v>
      </c>
      <c r="G74" s="49">
        <f t="shared" si="2"/>
        <v>279000</v>
      </c>
      <c r="H74" s="46" t="s">
        <v>192</v>
      </c>
      <c r="I74" s="46">
        <v>98874827</v>
      </c>
      <c r="J74" s="46" t="s">
        <v>193</v>
      </c>
      <c r="K74" s="46" t="s">
        <v>194</v>
      </c>
      <c r="L74" s="46" t="s">
        <v>1172</v>
      </c>
      <c r="M74" s="46" t="b">
        <f t="shared" si="3"/>
        <v>1</v>
      </c>
    </row>
    <row r="75" spans="1:13" ht="31.2" x14ac:dyDescent="0.3">
      <c r="A75" s="46" t="s">
        <v>189</v>
      </c>
      <c r="B75" s="46" t="s">
        <v>1128</v>
      </c>
      <c r="C75" s="47">
        <v>45660</v>
      </c>
      <c r="D75" s="46" t="s">
        <v>200</v>
      </c>
      <c r="E75" s="46" t="str">
        <f>IFERROR(VLOOKUP(TRIM(D75), Collection!$B$2:$D$1001, 2, FALSE), "")</f>
        <v>Historiques 222</v>
      </c>
      <c r="F75" s="49" t="str">
        <f>IFERROR(VLOOKUP(TRIM(D75), Collection!$B$2:$D$1001, 3, FALSE), "")</f>
        <v>121,000 AED</v>
      </c>
      <c r="G75" s="49">
        <f t="shared" si="2"/>
        <v>121000</v>
      </c>
      <c r="H75" s="46" t="s">
        <v>192</v>
      </c>
      <c r="I75" s="46">
        <v>104457807</v>
      </c>
      <c r="J75" s="46" t="s">
        <v>193</v>
      </c>
      <c r="K75" s="46" t="s">
        <v>194</v>
      </c>
      <c r="L75" s="46" t="s">
        <v>1173</v>
      </c>
      <c r="M75" s="46" t="b">
        <f t="shared" si="3"/>
        <v>0</v>
      </c>
    </row>
    <row r="76" spans="1:13" ht="156" x14ac:dyDescent="0.3">
      <c r="A76" s="46" t="s">
        <v>189</v>
      </c>
      <c r="B76" s="46" t="s">
        <v>1128</v>
      </c>
      <c r="C76" s="47">
        <v>45660</v>
      </c>
      <c r="D76" s="46" t="s">
        <v>406</v>
      </c>
      <c r="E76" s="46" t="str">
        <f>IFERROR(VLOOKUP(TRIM(D76), Collection!$B$2:$D$1001, 2, FALSE), "")</f>
        <v>Traditionnelle tourbillon retrograde date openface</v>
      </c>
      <c r="F76" s="49" t="str">
        <f>IFERROR(VLOOKUP(TRIM(D76), Collection!$B$2:$D$1001, 3, FALSE), "")</f>
        <v>650,000 AED</v>
      </c>
      <c r="G76" s="49">
        <f t="shared" si="2"/>
        <v>650000</v>
      </c>
      <c r="H76" s="46" t="s">
        <v>192</v>
      </c>
      <c r="I76" s="46">
        <v>104509438</v>
      </c>
      <c r="J76" s="46" t="s">
        <v>193</v>
      </c>
      <c r="K76" s="46" t="s">
        <v>194</v>
      </c>
      <c r="L76" s="46" t="s">
        <v>1174</v>
      </c>
      <c r="M76" s="46" t="b">
        <f t="shared" si="3"/>
        <v>0</v>
      </c>
    </row>
    <row r="77" spans="1:13" ht="31.2" x14ac:dyDescent="0.3">
      <c r="A77" s="46" t="s">
        <v>189</v>
      </c>
      <c r="B77" s="46" t="s">
        <v>1128</v>
      </c>
      <c r="C77" s="47">
        <v>45660</v>
      </c>
      <c r="D77" s="46" t="s">
        <v>120</v>
      </c>
      <c r="E77" s="46" t="str">
        <f>IFERROR(VLOOKUP(TRIM(D77), Collection!$B$2:$D$1001, 2, FALSE), "")</f>
        <v>Overseas self-winding</v>
      </c>
      <c r="F77" s="49" t="str">
        <f>IFERROR(VLOOKUP(TRIM(D77), Collection!$B$2:$D$1001, 3, FALSE), "")</f>
        <v>94,500 AED</v>
      </c>
      <c r="G77" s="49">
        <f t="shared" si="2"/>
        <v>94500</v>
      </c>
      <c r="H77" s="46" t="s">
        <v>192</v>
      </c>
      <c r="I77" s="46">
        <v>103673092</v>
      </c>
      <c r="J77" s="46" t="s">
        <v>193</v>
      </c>
      <c r="K77" s="46" t="s">
        <v>194</v>
      </c>
      <c r="L77" s="46" t="s">
        <v>1175</v>
      </c>
      <c r="M77" s="46" t="b">
        <f t="shared" si="3"/>
        <v>0</v>
      </c>
    </row>
    <row r="78" spans="1:13" ht="31.2" x14ac:dyDescent="0.3">
      <c r="A78" s="46" t="s">
        <v>189</v>
      </c>
      <c r="B78" s="46" t="s">
        <v>1128</v>
      </c>
      <c r="C78" s="46" t="s">
        <v>410</v>
      </c>
      <c r="D78" s="46" t="s">
        <v>200</v>
      </c>
      <c r="E78" s="46" t="str">
        <f>IFERROR(VLOOKUP(TRIM(D78), Collection!$B$2:$D$1001, 2, FALSE), "")</f>
        <v>Historiques 222</v>
      </c>
      <c r="F78" s="49" t="str">
        <f>IFERROR(VLOOKUP(TRIM(D78), Collection!$B$2:$D$1001, 3, FALSE), "")</f>
        <v>121,000 AED</v>
      </c>
      <c r="G78" s="49">
        <f t="shared" si="2"/>
        <v>121000</v>
      </c>
      <c r="H78" s="46" t="s">
        <v>192</v>
      </c>
      <c r="I78" s="46">
        <v>104299847</v>
      </c>
      <c r="J78" s="46" t="s">
        <v>1128</v>
      </c>
      <c r="K78" s="46" t="s">
        <v>194</v>
      </c>
      <c r="L78" s="46" t="s">
        <v>1161</v>
      </c>
      <c r="M78" s="46" t="b">
        <f t="shared" si="3"/>
        <v>0</v>
      </c>
    </row>
    <row r="79" spans="1:13" ht="31.2" x14ac:dyDescent="0.3">
      <c r="A79" s="46" t="s">
        <v>189</v>
      </c>
      <c r="B79" s="46" t="s">
        <v>1128</v>
      </c>
      <c r="C79" s="46" t="s">
        <v>410</v>
      </c>
      <c r="D79" s="46" t="s">
        <v>200</v>
      </c>
      <c r="E79" s="46" t="str">
        <f>IFERROR(VLOOKUP(TRIM(D79), Collection!$B$2:$D$1001, 2, FALSE), "")</f>
        <v>Historiques 222</v>
      </c>
      <c r="F79" s="49" t="str">
        <f>IFERROR(VLOOKUP(TRIM(D79), Collection!$B$2:$D$1001, 3, FALSE), "")</f>
        <v>121,000 AED</v>
      </c>
      <c r="G79" s="49">
        <f t="shared" si="2"/>
        <v>121000</v>
      </c>
      <c r="H79" s="46" t="s">
        <v>192</v>
      </c>
      <c r="I79" s="46">
        <v>103621137</v>
      </c>
      <c r="J79" s="46" t="s">
        <v>193</v>
      </c>
      <c r="K79" s="46" t="s">
        <v>194</v>
      </c>
      <c r="L79" s="46">
        <v>222</v>
      </c>
      <c r="M79" s="46" t="b">
        <f t="shared" si="3"/>
        <v>0</v>
      </c>
    </row>
    <row r="80" spans="1:13" ht="46.8" x14ac:dyDescent="0.3">
      <c r="A80" s="46" t="s">
        <v>189</v>
      </c>
      <c r="B80" s="46" t="s">
        <v>1128</v>
      </c>
      <c r="C80" s="46" t="s">
        <v>410</v>
      </c>
      <c r="D80" s="46" t="s">
        <v>137</v>
      </c>
      <c r="E80" s="46" t="str">
        <f>IFERROR(VLOOKUP(TRIM(D80), Collection!$B$2:$D$1001, 2, FALSE), "")</f>
        <v>Historiques American 1921 - Arabic</v>
      </c>
      <c r="F80" s="49" t="str">
        <f>IFERROR(VLOOKUP(TRIM(D80), Collection!$B$2:$D$1001, 3, FALSE), "")</f>
        <v>192,000 AED</v>
      </c>
      <c r="G80" s="49">
        <f t="shared" si="2"/>
        <v>192000</v>
      </c>
      <c r="H80" s="46" t="s">
        <v>192</v>
      </c>
      <c r="I80" s="46">
        <v>98609197</v>
      </c>
      <c r="J80" s="46" t="s">
        <v>193</v>
      </c>
      <c r="K80" s="46" t="s">
        <v>194</v>
      </c>
      <c r="L80" s="46" t="s">
        <v>1128</v>
      </c>
      <c r="M80" s="46" t="b">
        <f t="shared" si="3"/>
        <v>0</v>
      </c>
    </row>
    <row r="81" spans="1:13" ht="31.2" x14ac:dyDescent="0.3">
      <c r="A81" s="46" t="s">
        <v>189</v>
      </c>
      <c r="B81" s="46" t="s">
        <v>1128</v>
      </c>
      <c r="C81" s="46" t="s">
        <v>410</v>
      </c>
      <c r="D81" s="46" t="s">
        <v>200</v>
      </c>
      <c r="E81" s="46" t="str">
        <f>IFERROR(VLOOKUP(TRIM(D81), Collection!$B$2:$D$1001, 2, FALSE), "")</f>
        <v>Historiques 222</v>
      </c>
      <c r="F81" s="49" t="str">
        <f>IFERROR(VLOOKUP(TRIM(D81), Collection!$B$2:$D$1001, 3, FALSE), "")</f>
        <v>121,000 AED</v>
      </c>
      <c r="G81" s="49">
        <f t="shared" si="2"/>
        <v>121000</v>
      </c>
      <c r="H81" s="46" t="s">
        <v>192</v>
      </c>
      <c r="I81" s="46">
        <v>98609197</v>
      </c>
      <c r="J81" s="46" t="s">
        <v>193</v>
      </c>
      <c r="K81" s="46" t="s">
        <v>194</v>
      </c>
      <c r="L81" s="46">
        <v>222</v>
      </c>
      <c r="M81" s="46" t="b">
        <f t="shared" si="3"/>
        <v>0</v>
      </c>
    </row>
    <row r="82" spans="1:13" ht="31.2" x14ac:dyDescent="0.3">
      <c r="A82" s="46" t="s">
        <v>189</v>
      </c>
      <c r="B82" s="46" t="s">
        <v>1128</v>
      </c>
      <c r="C82" s="46" t="s">
        <v>414</v>
      </c>
      <c r="D82" s="46" t="s">
        <v>56</v>
      </c>
      <c r="E82" s="46" t="str">
        <f>IFERROR(VLOOKUP(TRIM(D82), Collection!$B$2:$D$1001, 2, FALSE), "")</f>
        <v>Overseas dual time Blue</v>
      </c>
      <c r="F82" s="49" t="str">
        <f>IFERROR(VLOOKUP(TRIM(D82), Collection!$B$2:$D$1001, 3, FALSE), "")</f>
        <v>117,000 AED</v>
      </c>
      <c r="G82" s="49">
        <f t="shared" si="2"/>
        <v>117000</v>
      </c>
      <c r="H82" s="46" t="s">
        <v>192</v>
      </c>
      <c r="I82" s="46">
        <v>104329408</v>
      </c>
      <c r="J82" s="46" t="s">
        <v>1128</v>
      </c>
      <c r="K82" s="46" t="s">
        <v>194</v>
      </c>
      <c r="L82" s="46" t="s">
        <v>1176</v>
      </c>
      <c r="M82" s="46" t="b">
        <f t="shared" si="3"/>
        <v>0</v>
      </c>
    </row>
    <row r="83" spans="1:13" ht="31.2" x14ac:dyDescent="0.3">
      <c r="A83" s="46" t="s">
        <v>189</v>
      </c>
      <c r="B83" s="46" t="s">
        <v>1128</v>
      </c>
      <c r="C83" s="46" t="s">
        <v>414</v>
      </c>
      <c r="D83" s="46" t="s">
        <v>200</v>
      </c>
      <c r="E83" s="46" t="str">
        <f>IFERROR(VLOOKUP(TRIM(D83), Collection!$B$2:$D$1001, 2, FALSE), "")</f>
        <v>Historiques 222</v>
      </c>
      <c r="F83" s="49" t="str">
        <f>IFERROR(VLOOKUP(TRIM(D83), Collection!$B$2:$D$1001, 3, FALSE), "")</f>
        <v>121,000 AED</v>
      </c>
      <c r="G83" s="49">
        <f t="shared" si="2"/>
        <v>121000</v>
      </c>
      <c r="H83" s="46" t="s">
        <v>192</v>
      </c>
      <c r="I83" s="46">
        <v>104375430</v>
      </c>
      <c r="J83" s="46" t="s">
        <v>1128</v>
      </c>
      <c r="K83" s="46" t="s">
        <v>204</v>
      </c>
      <c r="L83" s="46" t="s">
        <v>1177</v>
      </c>
      <c r="M83" s="46" t="b">
        <f t="shared" si="3"/>
        <v>0</v>
      </c>
    </row>
    <row r="84" spans="1:13" ht="31.2" x14ac:dyDescent="0.3">
      <c r="A84" s="46" t="s">
        <v>189</v>
      </c>
      <c r="B84" s="46" t="s">
        <v>1128</v>
      </c>
      <c r="C84" s="46" t="s">
        <v>414</v>
      </c>
      <c r="D84" s="46" t="s">
        <v>120</v>
      </c>
      <c r="E84" s="46" t="str">
        <f>IFERROR(VLOOKUP(TRIM(D84), Collection!$B$2:$D$1001, 2, FALSE), "")</f>
        <v>Overseas self-winding</v>
      </c>
      <c r="F84" s="49" t="str">
        <f>IFERROR(VLOOKUP(TRIM(D84), Collection!$B$2:$D$1001, 3, FALSE), "")</f>
        <v>94,500 AED</v>
      </c>
      <c r="G84" s="49">
        <f t="shared" si="2"/>
        <v>94500</v>
      </c>
      <c r="H84" s="46" t="s">
        <v>192</v>
      </c>
      <c r="I84" s="46">
        <v>104183935</v>
      </c>
      <c r="J84" s="46" t="s">
        <v>1128</v>
      </c>
      <c r="K84" s="46" t="s">
        <v>204</v>
      </c>
      <c r="L84" s="46" t="s">
        <v>1178</v>
      </c>
      <c r="M84" s="46" t="b">
        <f t="shared" si="3"/>
        <v>0</v>
      </c>
    </row>
    <row r="85" spans="1:13" ht="31.2" x14ac:dyDescent="0.3">
      <c r="A85" s="46" t="s">
        <v>189</v>
      </c>
      <c r="B85" s="46" t="s">
        <v>1128</v>
      </c>
      <c r="C85" s="46" t="s">
        <v>414</v>
      </c>
      <c r="D85" s="46" t="s">
        <v>200</v>
      </c>
      <c r="E85" s="46" t="str">
        <f>IFERROR(VLOOKUP(TRIM(D85), Collection!$B$2:$D$1001, 2, FALSE), "")</f>
        <v>Historiques 222</v>
      </c>
      <c r="F85" s="49" t="str">
        <f>IFERROR(VLOOKUP(TRIM(D85), Collection!$B$2:$D$1001, 3, FALSE), "")</f>
        <v>121,000 AED</v>
      </c>
      <c r="G85" s="49">
        <f t="shared" si="2"/>
        <v>121000</v>
      </c>
      <c r="H85" s="46" t="s">
        <v>192</v>
      </c>
      <c r="I85" s="46">
        <v>104375462</v>
      </c>
      <c r="J85" s="46" t="s">
        <v>1128</v>
      </c>
      <c r="K85" s="46" t="s">
        <v>194</v>
      </c>
      <c r="L85" s="46" t="s">
        <v>1179</v>
      </c>
      <c r="M85" s="46" t="b">
        <f t="shared" si="3"/>
        <v>0</v>
      </c>
    </row>
    <row r="86" spans="1:13" ht="62.4" x14ac:dyDescent="0.3">
      <c r="A86" s="46" t="s">
        <v>189</v>
      </c>
      <c r="B86" s="46" t="s">
        <v>1128</v>
      </c>
      <c r="C86" s="46" t="s">
        <v>414</v>
      </c>
      <c r="D86" s="46" t="s">
        <v>200</v>
      </c>
      <c r="E86" s="46" t="str">
        <f>IFERROR(VLOOKUP(TRIM(D86), Collection!$B$2:$D$1001, 2, FALSE), "")</f>
        <v>Historiques 222</v>
      </c>
      <c r="F86" s="49" t="str">
        <f>IFERROR(VLOOKUP(TRIM(D86), Collection!$B$2:$D$1001, 3, FALSE), "")</f>
        <v>121,000 AED</v>
      </c>
      <c r="G86" s="49">
        <f t="shared" si="2"/>
        <v>121000</v>
      </c>
      <c r="H86" s="46" t="s">
        <v>192</v>
      </c>
      <c r="I86" s="46">
        <v>104326404</v>
      </c>
      <c r="J86" s="46" t="s">
        <v>1128</v>
      </c>
      <c r="K86" s="46" t="s">
        <v>194</v>
      </c>
      <c r="L86" s="46" t="s">
        <v>1180</v>
      </c>
      <c r="M86" s="46" t="b">
        <f t="shared" si="3"/>
        <v>0</v>
      </c>
    </row>
    <row r="87" spans="1:13" ht="31.2" x14ac:dyDescent="0.3">
      <c r="A87" s="46" t="s">
        <v>189</v>
      </c>
      <c r="B87" s="46" t="s">
        <v>1128</v>
      </c>
      <c r="C87" s="46" t="s">
        <v>414</v>
      </c>
      <c r="D87" s="46" t="s">
        <v>200</v>
      </c>
      <c r="E87" s="46" t="str">
        <f>IFERROR(VLOOKUP(TRIM(D87), Collection!$B$2:$D$1001, 2, FALSE), "")</f>
        <v>Historiques 222</v>
      </c>
      <c r="F87" s="49" t="str">
        <f>IFERROR(VLOOKUP(TRIM(D87), Collection!$B$2:$D$1001, 3, FALSE), "")</f>
        <v>121,000 AED</v>
      </c>
      <c r="G87" s="49">
        <f t="shared" si="2"/>
        <v>121000</v>
      </c>
      <c r="H87" s="46" t="s">
        <v>192</v>
      </c>
      <c r="I87" s="46">
        <v>102680410</v>
      </c>
      <c r="J87" s="46" t="s">
        <v>1128</v>
      </c>
      <c r="K87" s="46" t="s">
        <v>194</v>
      </c>
      <c r="L87" s="46" t="s">
        <v>1181</v>
      </c>
      <c r="M87" s="46" t="b">
        <f t="shared" si="3"/>
        <v>0</v>
      </c>
    </row>
    <row r="88" spans="1:13" ht="31.2" x14ac:dyDescent="0.3">
      <c r="A88" s="46" t="s">
        <v>189</v>
      </c>
      <c r="B88" s="46" t="s">
        <v>1128</v>
      </c>
      <c r="C88" s="46" t="s">
        <v>414</v>
      </c>
      <c r="D88" s="46" t="s">
        <v>200</v>
      </c>
      <c r="E88" s="46" t="str">
        <f>IFERROR(VLOOKUP(TRIM(D88), Collection!$B$2:$D$1001, 2, FALSE), "")</f>
        <v>Historiques 222</v>
      </c>
      <c r="F88" s="49" t="str">
        <f>IFERROR(VLOOKUP(TRIM(D88), Collection!$B$2:$D$1001, 3, FALSE), "")</f>
        <v>121,000 AED</v>
      </c>
      <c r="G88" s="49">
        <f t="shared" si="2"/>
        <v>121000</v>
      </c>
      <c r="H88" s="46" t="s">
        <v>192</v>
      </c>
      <c r="I88" s="46">
        <v>104908886</v>
      </c>
      <c r="J88" s="46" t="s">
        <v>193</v>
      </c>
      <c r="K88" s="46" t="s">
        <v>194</v>
      </c>
      <c r="L88" s="46">
        <v>222</v>
      </c>
      <c r="M88" s="46" t="b">
        <f t="shared" si="3"/>
        <v>0</v>
      </c>
    </row>
    <row r="89" spans="1:13" ht="31.2" x14ac:dyDescent="0.3">
      <c r="A89" s="46" t="s">
        <v>189</v>
      </c>
      <c r="B89" s="46" t="s">
        <v>1128</v>
      </c>
      <c r="C89" s="46" t="s">
        <v>427</v>
      </c>
      <c r="D89" s="46" t="s">
        <v>200</v>
      </c>
      <c r="E89" s="46" t="str">
        <f>IFERROR(VLOOKUP(TRIM(D89), Collection!$B$2:$D$1001, 2, FALSE), "")</f>
        <v>Historiques 222</v>
      </c>
      <c r="F89" s="49" t="str">
        <f>IFERROR(VLOOKUP(TRIM(D89), Collection!$B$2:$D$1001, 3, FALSE), "")</f>
        <v>121,000 AED</v>
      </c>
      <c r="G89" s="49">
        <f t="shared" si="2"/>
        <v>121000</v>
      </c>
      <c r="H89" s="46" t="s">
        <v>192</v>
      </c>
      <c r="I89" s="46">
        <v>103847224</v>
      </c>
      <c r="J89" s="46" t="s">
        <v>1128</v>
      </c>
      <c r="K89" s="46" t="s">
        <v>194</v>
      </c>
      <c r="L89" s="46">
        <v>222</v>
      </c>
      <c r="M89" s="46" t="b">
        <f t="shared" si="3"/>
        <v>0</v>
      </c>
    </row>
    <row r="90" spans="1:13" ht="31.2" x14ac:dyDescent="0.3">
      <c r="A90" s="46" t="s">
        <v>189</v>
      </c>
      <c r="B90" s="46" t="s">
        <v>1128</v>
      </c>
      <c r="C90" s="46" t="s">
        <v>427</v>
      </c>
      <c r="D90" s="46" t="s">
        <v>200</v>
      </c>
      <c r="E90" s="46" t="str">
        <f>IFERROR(VLOOKUP(TRIM(D90), Collection!$B$2:$D$1001, 2, FALSE), "")</f>
        <v>Historiques 222</v>
      </c>
      <c r="F90" s="49" t="str">
        <f>IFERROR(VLOOKUP(TRIM(D90), Collection!$B$2:$D$1001, 3, FALSE), "")</f>
        <v>121,000 AED</v>
      </c>
      <c r="G90" s="49">
        <f t="shared" si="2"/>
        <v>121000</v>
      </c>
      <c r="H90" s="46" t="s">
        <v>192</v>
      </c>
      <c r="I90" s="46">
        <v>104255707</v>
      </c>
      <c r="J90" s="46" t="s">
        <v>1128</v>
      </c>
      <c r="K90" s="46" t="s">
        <v>194</v>
      </c>
      <c r="L90" s="46">
        <v>222</v>
      </c>
      <c r="M90" s="46" t="b">
        <f t="shared" si="3"/>
        <v>0</v>
      </c>
    </row>
    <row r="91" spans="1:13" ht="31.2" x14ac:dyDescent="0.3">
      <c r="A91" s="46" t="s">
        <v>189</v>
      </c>
      <c r="B91" s="46" t="s">
        <v>1128</v>
      </c>
      <c r="C91" s="46" t="s">
        <v>427</v>
      </c>
      <c r="D91" s="46" t="s">
        <v>200</v>
      </c>
      <c r="E91" s="46" t="str">
        <f>IFERROR(VLOOKUP(TRIM(D91), Collection!$B$2:$D$1001, 2, FALSE), "")</f>
        <v>Historiques 222</v>
      </c>
      <c r="F91" s="49" t="str">
        <f>IFERROR(VLOOKUP(TRIM(D91), Collection!$B$2:$D$1001, 3, FALSE), "")</f>
        <v>121,000 AED</v>
      </c>
      <c r="G91" s="49">
        <f t="shared" si="2"/>
        <v>121000</v>
      </c>
      <c r="H91" s="46" t="s">
        <v>192</v>
      </c>
      <c r="I91" s="46">
        <v>104270695</v>
      </c>
      <c r="J91" s="46" t="s">
        <v>1128</v>
      </c>
      <c r="K91" s="46" t="s">
        <v>194</v>
      </c>
      <c r="L91" s="46" t="s">
        <v>1182</v>
      </c>
      <c r="M91" s="46" t="b">
        <f t="shared" si="3"/>
        <v>0</v>
      </c>
    </row>
    <row r="92" spans="1:13" ht="31.2" x14ac:dyDescent="0.3">
      <c r="A92" s="46" t="s">
        <v>189</v>
      </c>
      <c r="B92" s="46" t="s">
        <v>1128</v>
      </c>
      <c r="C92" s="46" t="s">
        <v>427</v>
      </c>
      <c r="D92" s="46" t="s">
        <v>200</v>
      </c>
      <c r="E92" s="46" t="str">
        <f>IFERROR(VLOOKUP(TRIM(D92), Collection!$B$2:$D$1001, 2, FALSE), "")</f>
        <v>Historiques 222</v>
      </c>
      <c r="F92" s="49" t="str">
        <f>IFERROR(VLOOKUP(TRIM(D92), Collection!$B$2:$D$1001, 3, FALSE), "")</f>
        <v>121,000 AED</v>
      </c>
      <c r="G92" s="49">
        <f t="shared" si="2"/>
        <v>121000</v>
      </c>
      <c r="H92" s="46" t="s">
        <v>192</v>
      </c>
      <c r="I92" s="46">
        <v>102905736</v>
      </c>
      <c r="J92" s="46" t="s">
        <v>1128</v>
      </c>
      <c r="K92" s="46" t="s">
        <v>194</v>
      </c>
      <c r="L92" s="46">
        <v>222</v>
      </c>
      <c r="M92" s="46" t="b">
        <f t="shared" si="3"/>
        <v>0</v>
      </c>
    </row>
    <row r="93" spans="1:13" ht="31.2" x14ac:dyDescent="0.3">
      <c r="A93" s="46" t="s">
        <v>189</v>
      </c>
      <c r="B93" s="46" t="s">
        <v>1128</v>
      </c>
      <c r="C93" s="46" t="s">
        <v>433</v>
      </c>
      <c r="D93" s="46" t="s">
        <v>200</v>
      </c>
      <c r="E93" s="46" t="str">
        <f>IFERROR(VLOOKUP(TRIM(D93), Collection!$B$2:$D$1001, 2, FALSE), "")</f>
        <v>Historiques 222</v>
      </c>
      <c r="F93" s="49" t="str">
        <f>IFERROR(VLOOKUP(TRIM(D93), Collection!$B$2:$D$1001, 3, FALSE), "")</f>
        <v>121,000 AED</v>
      </c>
      <c r="G93" s="49">
        <f t="shared" si="2"/>
        <v>121000</v>
      </c>
      <c r="H93" s="46" t="s">
        <v>192</v>
      </c>
      <c r="I93" s="46">
        <v>92404193</v>
      </c>
      <c r="J93" s="46" t="s">
        <v>248</v>
      </c>
      <c r="K93" s="46" t="s">
        <v>204</v>
      </c>
      <c r="L93" s="46" t="s">
        <v>1183</v>
      </c>
      <c r="M93" s="46" t="b">
        <f t="shared" si="3"/>
        <v>0</v>
      </c>
    </row>
    <row r="94" spans="1:13" ht="31.2" x14ac:dyDescent="0.3">
      <c r="A94" s="46" t="s">
        <v>189</v>
      </c>
      <c r="B94" s="46" t="s">
        <v>1128</v>
      </c>
      <c r="C94" s="46" t="s">
        <v>436</v>
      </c>
      <c r="D94" s="46" t="s">
        <v>200</v>
      </c>
      <c r="E94" s="46" t="str">
        <f>IFERROR(VLOOKUP(TRIM(D94), Collection!$B$2:$D$1001, 2, FALSE), "")</f>
        <v>Historiques 222</v>
      </c>
      <c r="F94" s="49" t="str">
        <f>IFERROR(VLOOKUP(TRIM(D94), Collection!$B$2:$D$1001, 3, FALSE), "")</f>
        <v>121,000 AED</v>
      </c>
      <c r="G94" s="49">
        <f t="shared" si="2"/>
        <v>121000</v>
      </c>
      <c r="H94" s="46" t="s">
        <v>192</v>
      </c>
      <c r="I94" s="46">
        <v>103831073</v>
      </c>
      <c r="J94" s="46" t="s">
        <v>193</v>
      </c>
      <c r="K94" s="46" t="s">
        <v>194</v>
      </c>
      <c r="L94" s="46" t="s">
        <v>1161</v>
      </c>
      <c r="M94" s="46" t="b">
        <f t="shared" si="3"/>
        <v>0</v>
      </c>
    </row>
    <row r="95" spans="1:13" ht="31.2" x14ac:dyDescent="0.3">
      <c r="A95" s="46" t="s">
        <v>189</v>
      </c>
      <c r="B95" s="46" t="s">
        <v>1128</v>
      </c>
      <c r="C95" s="46" t="s">
        <v>438</v>
      </c>
      <c r="D95" s="46" t="s">
        <v>120</v>
      </c>
      <c r="E95" s="46" t="str">
        <f>IFERROR(VLOOKUP(TRIM(D95), Collection!$B$2:$D$1001, 2, FALSE), "")</f>
        <v>Overseas self-winding</v>
      </c>
      <c r="F95" s="49" t="str">
        <f>IFERROR(VLOOKUP(TRIM(D95), Collection!$B$2:$D$1001, 3, FALSE), "")</f>
        <v>94,500 AED</v>
      </c>
      <c r="G95" s="49">
        <f t="shared" si="2"/>
        <v>94500</v>
      </c>
      <c r="H95" s="46" t="s">
        <v>192</v>
      </c>
      <c r="I95" s="46">
        <v>104181189</v>
      </c>
      <c r="J95" s="46" t="s">
        <v>193</v>
      </c>
      <c r="K95" s="46" t="s">
        <v>204</v>
      </c>
      <c r="L95" s="46" t="s">
        <v>1184</v>
      </c>
      <c r="M95" s="46" t="b">
        <f t="shared" si="3"/>
        <v>0</v>
      </c>
    </row>
    <row r="96" spans="1:13" ht="31.2" x14ac:dyDescent="0.3">
      <c r="A96" s="46" t="s">
        <v>189</v>
      </c>
      <c r="B96" s="46" t="s">
        <v>1128</v>
      </c>
      <c r="C96" s="46" t="s">
        <v>438</v>
      </c>
      <c r="D96" s="46" t="s">
        <v>200</v>
      </c>
      <c r="E96" s="46" t="str">
        <f>IFERROR(VLOOKUP(TRIM(D96), Collection!$B$2:$D$1001, 2, FALSE), "")</f>
        <v>Historiques 222</v>
      </c>
      <c r="F96" s="49" t="str">
        <f>IFERROR(VLOOKUP(TRIM(D96), Collection!$B$2:$D$1001, 3, FALSE), "")</f>
        <v>121,000 AED</v>
      </c>
      <c r="G96" s="49">
        <f t="shared" si="2"/>
        <v>121000</v>
      </c>
      <c r="H96" s="46" t="s">
        <v>192</v>
      </c>
      <c r="I96" s="46">
        <v>102905736</v>
      </c>
      <c r="J96" s="46" t="s">
        <v>1128</v>
      </c>
      <c r="K96" s="46" t="s">
        <v>194</v>
      </c>
      <c r="L96" s="46" t="s">
        <v>1128</v>
      </c>
      <c r="M96" s="46" t="b">
        <f t="shared" si="3"/>
        <v>0</v>
      </c>
    </row>
    <row r="97" spans="1:13" ht="46.8" x14ac:dyDescent="0.3">
      <c r="A97" s="46" t="s">
        <v>189</v>
      </c>
      <c r="B97" s="46" t="s">
        <v>1128</v>
      </c>
      <c r="C97" s="46" t="s">
        <v>438</v>
      </c>
      <c r="D97" s="46" t="s">
        <v>128</v>
      </c>
      <c r="E97" s="46" t="str">
        <f>IFERROR(VLOOKUP(TRIM(D97), Collection!$B$2:$D$1001, 2, FALSE), "")</f>
        <v>Overseas chronograph Pink Gold</v>
      </c>
      <c r="F97" s="49" t="str">
        <f>IFERROR(VLOOKUP(TRIM(D97), Collection!$B$2:$D$1001, 3, FALSE), "")</f>
        <v>299,000 AED</v>
      </c>
      <c r="G97" s="49">
        <f t="shared" si="2"/>
        <v>299000</v>
      </c>
      <c r="H97" s="46" t="s">
        <v>192</v>
      </c>
      <c r="I97" s="46">
        <v>104459131</v>
      </c>
      <c r="J97" s="46" t="s">
        <v>193</v>
      </c>
      <c r="K97" s="46" t="s">
        <v>194</v>
      </c>
      <c r="L97" s="46" t="s">
        <v>1185</v>
      </c>
      <c r="M97" s="46" t="b">
        <f t="shared" si="3"/>
        <v>1</v>
      </c>
    </row>
    <row r="98" spans="1:13" ht="31.2" x14ac:dyDescent="0.3">
      <c r="A98" s="46" t="s">
        <v>189</v>
      </c>
      <c r="B98" s="46" t="s">
        <v>1128</v>
      </c>
      <c r="C98" s="46" t="s">
        <v>443</v>
      </c>
      <c r="D98" s="46" t="s">
        <v>200</v>
      </c>
      <c r="E98" s="46" t="str">
        <f>IFERROR(VLOOKUP(TRIM(D98), Collection!$B$2:$D$1001, 2, FALSE), "")</f>
        <v>Historiques 222</v>
      </c>
      <c r="F98" s="49" t="str">
        <f>IFERROR(VLOOKUP(TRIM(D98), Collection!$B$2:$D$1001, 3, FALSE), "")</f>
        <v>121,000 AED</v>
      </c>
      <c r="G98" s="49">
        <f t="shared" si="2"/>
        <v>121000</v>
      </c>
      <c r="H98" s="46" t="s">
        <v>192</v>
      </c>
      <c r="I98" s="46">
        <v>104137810</v>
      </c>
      <c r="J98" s="46" t="s">
        <v>193</v>
      </c>
      <c r="K98" s="46" t="s">
        <v>204</v>
      </c>
      <c r="L98" s="46" t="s">
        <v>1186</v>
      </c>
      <c r="M98" s="46" t="b">
        <f t="shared" si="3"/>
        <v>0</v>
      </c>
    </row>
    <row r="99" spans="1:13" ht="31.2" x14ac:dyDescent="0.3">
      <c r="A99" s="46" t="s">
        <v>189</v>
      </c>
      <c r="B99" s="46" t="s">
        <v>1128</v>
      </c>
      <c r="C99" s="46" t="s">
        <v>443</v>
      </c>
      <c r="D99" s="46" t="s">
        <v>200</v>
      </c>
      <c r="E99" s="46" t="str">
        <f>IFERROR(VLOOKUP(TRIM(D99), Collection!$B$2:$D$1001, 2, FALSE), "")</f>
        <v>Historiques 222</v>
      </c>
      <c r="F99" s="49" t="str">
        <f>IFERROR(VLOOKUP(TRIM(D99), Collection!$B$2:$D$1001, 3, FALSE), "")</f>
        <v>121,000 AED</v>
      </c>
      <c r="G99" s="49">
        <f t="shared" si="2"/>
        <v>121000</v>
      </c>
      <c r="H99" s="46" t="s">
        <v>192</v>
      </c>
      <c r="I99" s="46">
        <v>104137864</v>
      </c>
      <c r="J99" s="46" t="s">
        <v>193</v>
      </c>
      <c r="K99" s="46" t="s">
        <v>204</v>
      </c>
      <c r="L99" s="46" t="s">
        <v>1187</v>
      </c>
      <c r="M99" s="46" t="b">
        <f t="shared" si="3"/>
        <v>0</v>
      </c>
    </row>
    <row r="100" spans="1:13" ht="31.2" x14ac:dyDescent="0.3">
      <c r="A100" s="46" t="s">
        <v>189</v>
      </c>
      <c r="B100" s="46" t="s">
        <v>1128</v>
      </c>
      <c r="C100" s="46" t="s">
        <v>443</v>
      </c>
      <c r="D100" s="46" t="s">
        <v>200</v>
      </c>
      <c r="E100" s="46" t="str">
        <f>IFERROR(VLOOKUP(TRIM(D100), Collection!$B$2:$D$1001, 2, FALSE), "")</f>
        <v>Historiques 222</v>
      </c>
      <c r="F100" s="49" t="str">
        <f>IFERROR(VLOOKUP(TRIM(D100), Collection!$B$2:$D$1001, 3, FALSE), "")</f>
        <v>121,000 AED</v>
      </c>
      <c r="G100" s="49">
        <f t="shared" si="2"/>
        <v>121000</v>
      </c>
      <c r="H100" s="46" t="s">
        <v>192</v>
      </c>
      <c r="I100" s="46">
        <v>92402356</v>
      </c>
      <c r="J100" s="46" t="s">
        <v>193</v>
      </c>
      <c r="K100" s="46" t="s">
        <v>204</v>
      </c>
      <c r="L100" s="46" t="s">
        <v>1188</v>
      </c>
      <c r="M100" s="46" t="b">
        <f t="shared" si="3"/>
        <v>0</v>
      </c>
    </row>
    <row r="101" spans="1:13" ht="93.6" x14ac:dyDescent="0.3">
      <c r="A101" s="46" t="s">
        <v>189</v>
      </c>
      <c r="B101" s="46" t="s">
        <v>1128</v>
      </c>
      <c r="C101" s="46" t="s">
        <v>450</v>
      </c>
      <c r="D101" s="46" t="s">
        <v>241</v>
      </c>
      <c r="E101" s="46" t="str">
        <f>IFERROR(VLOOKUP(TRIM(D101), Collection!$B$2:$D$1001, 2, FALSE), "")</f>
        <v>Overseas chronograph</v>
      </c>
      <c r="F101" s="49" t="str">
        <f>IFERROR(VLOOKUP(TRIM(D101), Collection!$B$2:$D$1001, 3, FALSE), "")</f>
        <v>135,000 AED</v>
      </c>
      <c r="G101" s="49">
        <f t="shared" si="2"/>
        <v>135000</v>
      </c>
      <c r="H101" s="46" t="s">
        <v>192</v>
      </c>
      <c r="I101" s="46">
        <v>104495233</v>
      </c>
      <c r="J101" s="46" t="s">
        <v>193</v>
      </c>
      <c r="K101" s="46" t="s">
        <v>194</v>
      </c>
      <c r="L101" s="46" t="s">
        <v>1189</v>
      </c>
      <c r="M101" s="46" t="b">
        <f t="shared" si="3"/>
        <v>0</v>
      </c>
    </row>
    <row r="102" spans="1:13" ht="31.2" x14ac:dyDescent="0.3">
      <c r="A102" s="46" t="s">
        <v>189</v>
      </c>
      <c r="B102" s="46" t="s">
        <v>1128</v>
      </c>
      <c r="C102" s="46" t="s">
        <v>453</v>
      </c>
      <c r="D102" s="46" t="s">
        <v>200</v>
      </c>
      <c r="E102" s="46" t="str">
        <f>IFERROR(VLOOKUP(TRIM(D102), Collection!$B$2:$D$1001, 2, FALSE), "")</f>
        <v>Historiques 222</v>
      </c>
      <c r="F102" s="49" t="str">
        <f>IFERROR(VLOOKUP(TRIM(D102), Collection!$B$2:$D$1001, 3, FALSE), "")</f>
        <v>121,000 AED</v>
      </c>
      <c r="G102" s="49">
        <f t="shared" si="2"/>
        <v>121000</v>
      </c>
      <c r="H102" s="46" t="s">
        <v>192</v>
      </c>
      <c r="I102" s="46">
        <v>103985822</v>
      </c>
      <c r="J102" s="46" t="s">
        <v>193</v>
      </c>
      <c r="K102" s="46" t="s">
        <v>201</v>
      </c>
      <c r="L102" s="46" t="s">
        <v>1128</v>
      </c>
      <c r="M102" s="46" t="b">
        <f t="shared" si="3"/>
        <v>0</v>
      </c>
    </row>
    <row r="103" spans="1:13" ht="31.2" x14ac:dyDescent="0.3">
      <c r="A103" s="46" t="s">
        <v>189</v>
      </c>
      <c r="B103" s="46" t="s">
        <v>1128</v>
      </c>
      <c r="C103" s="46" t="s">
        <v>453</v>
      </c>
      <c r="D103" s="46" t="s">
        <v>200</v>
      </c>
      <c r="E103" s="46" t="str">
        <f>IFERROR(VLOOKUP(TRIM(D103), Collection!$B$2:$D$1001, 2, FALSE), "")</f>
        <v>Historiques 222</v>
      </c>
      <c r="F103" s="49" t="str">
        <f>IFERROR(VLOOKUP(TRIM(D103), Collection!$B$2:$D$1001, 3, FALSE), "")</f>
        <v>121,000 AED</v>
      </c>
      <c r="G103" s="49">
        <f t="shared" si="2"/>
        <v>121000</v>
      </c>
      <c r="H103" s="46" t="s">
        <v>192</v>
      </c>
      <c r="I103" s="46">
        <v>104069433</v>
      </c>
      <c r="J103" s="46" t="s">
        <v>193</v>
      </c>
      <c r="K103" s="46" t="s">
        <v>204</v>
      </c>
      <c r="L103" s="46" t="s">
        <v>1190</v>
      </c>
      <c r="M103" s="46" t="b">
        <f t="shared" si="3"/>
        <v>0</v>
      </c>
    </row>
    <row r="104" spans="1:13" ht="31.2" x14ac:dyDescent="0.3">
      <c r="A104" s="46" t="s">
        <v>189</v>
      </c>
      <c r="B104" s="46" t="s">
        <v>1128</v>
      </c>
      <c r="C104" s="47">
        <v>45993</v>
      </c>
      <c r="D104" s="46" t="s">
        <v>200</v>
      </c>
      <c r="E104" s="46" t="str">
        <f>IFERROR(VLOOKUP(TRIM(D104), Collection!$B$2:$D$1001, 2, FALSE), "")</f>
        <v>Historiques 222</v>
      </c>
      <c r="F104" s="49" t="str">
        <f>IFERROR(VLOOKUP(TRIM(D104), Collection!$B$2:$D$1001, 3, FALSE), "")</f>
        <v>121,000 AED</v>
      </c>
      <c r="G104" s="49">
        <f t="shared" si="2"/>
        <v>121000</v>
      </c>
      <c r="H104" s="46" t="s">
        <v>192</v>
      </c>
      <c r="I104" s="46">
        <v>103936120</v>
      </c>
      <c r="J104" s="46" t="s">
        <v>193</v>
      </c>
      <c r="K104" s="46" t="s">
        <v>201</v>
      </c>
      <c r="L104" s="46" t="s">
        <v>1128</v>
      </c>
      <c r="M104" s="46" t="b">
        <f t="shared" si="3"/>
        <v>0</v>
      </c>
    </row>
    <row r="105" spans="1:13" ht="31.2" x14ac:dyDescent="0.3">
      <c r="A105" s="46" t="s">
        <v>189</v>
      </c>
      <c r="B105" s="46" t="s">
        <v>1128</v>
      </c>
      <c r="C105" s="47">
        <v>45993</v>
      </c>
      <c r="D105" s="46" t="s">
        <v>200</v>
      </c>
      <c r="E105" s="46" t="str">
        <f>IFERROR(VLOOKUP(TRIM(D105), Collection!$B$2:$D$1001, 2, FALSE), "")</f>
        <v>Historiques 222</v>
      </c>
      <c r="F105" s="49" t="str">
        <f>IFERROR(VLOOKUP(TRIM(D105), Collection!$B$2:$D$1001, 3, FALSE), "")</f>
        <v>121,000 AED</v>
      </c>
      <c r="G105" s="49">
        <f t="shared" si="2"/>
        <v>121000</v>
      </c>
      <c r="H105" s="46" t="s">
        <v>192</v>
      </c>
      <c r="I105" s="46">
        <v>104050167</v>
      </c>
      <c r="J105" s="46" t="s">
        <v>193</v>
      </c>
      <c r="K105" s="46" t="s">
        <v>204</v>
      </c>
      <c r="L105" s="46" t="s">
        <v>1191</v>
      </c>
      <c r="M105" s="46" t="b">
        <f t="shared" si="3"/>
        <v>0</v>
      </c>
    </row>
    <row r="106" spans="1:13" ht="31.2" x14ac:dyDescent="0.3">
      <c r="A106" s="46" t="s">
        <v>189</v>
      </c>
      <c r="B106" s="46" t="s">
        <v>1128</v>
      </c>
      <c r="C106" s="47">
        <v>45963</v>
      </c>
      <c r="D106" s="46" t="s">
        <v>200</v>
      </c>
      <c r="E106" s="46" t="str">
        <f>IFERROR(VLOOKUP(TRIM(D106), Collection!$B$2:$D$1001, 2, FALSE), "")</f>
        <v>Historiques 222</v>
      </c>
      <c r="F106" s="49" t="str">
        <f>IFERROR(VLOOKUP(TRIM(D106), Collection!$B$2:$D$1001, 3, FALSE), "")</f>
        <v>121,000 AED</v>
      </c>
      <c r="G106" s="49">
        <f t="shared" si="2"/>
        <v>121000</v>
      </c>
      <c r="H106" s="46" t="s">
        <v>192</v>
      </c>
      <c r="I106" s="46">
        <v>104044650</v>
      </c>
      <c r="J106" s="46" t="s">
        <v>193</v>
      </c>
      <c r="K106" s="46" t="s">
        <v>201</v>
      </c>
      <c r="L106" s="46" t="s">
        <v>1128</v>
      </c>
      <c r="M106" s="46" t="b">
        <f t="shared" si="3"/>
        <v>0</v>
      </c>
    </row>
    <row r="107" spans="1:13" ht="31.2" x14ac:dyDescent="0.3">
      <c r="A107" s="46" t="s">
        <v>264</v>
      </c>
      <c r="B107" s="46" t="s">
        <v>264</v>
      </c>
      <c r="C107" s="47">
        <v>45963</v>
      </c>
      <c r="D107" s="46" t="s">
        <v>56</v>
      </c>
      <c r="E107" s="46" t="str">
        <f>IFERROR(VLOOKUP(TRIM(D107), Collection!$B$2:$D$1001, 2, FALSE), "")</f>
        <v>Overseas dual time Blue</v>
      </c>
      <c r="F107" s="49" t="str">
        <f>IFERROR(VLOOKUP(TRIM(D107), Collection!$B$2:$D$1001, 3, FALSE), "")</f>
        <v>117,000 AED</v>
      </c>
      <c r="G107" s="49">
        <f t="shared" si="2"/>
        <v>117000</v>
      </c>
      <c r="H107" s="46" t="s">
        <v>192</v>
      </c>
      <c r="I107" s="46">
        <v>104044650</v>
      </c>
      <c r="J107" s="46" t="s">
        <v>193</v>
      </c>
      <c r="K107" s="46" t="s">
        <v>201</v>
      </c>
      <c r="L107" s="46" t="s">
        <v>1128</v>
      </c>
      <c r="M107" s="46" t="b">
        <f t="shared" si="3"/>
        <v>0</v>
      </c>
    </row>
    <row r="108" spans="1:13" ht="31.2" x14ac:dyDescent="0.3">
      <c r="A108" s="46" t="s">
        <v>189</v>
      </c>
      <c r="B108" s="46" t="s">
        <v>1128</v>
      </c>
      <c r="C108" s="47">
        <v>45963</v>
      </c>
      <c r="D108" s="46" t="s">
        <v>200</v>
      </c>
      <c r="E108" s="46" t="str">
        <f>IFERROR(VLOOKUP(TRIM(D108), Collection!$B$2:$D$1001, 2, FALSE), "")</f>
        <v>Historiques 222</v>
      </c>
      <c r="F108" s="49" t="str">
        <f>IFERROR(VLOOKUP(TRIM(D108), Collection!$B$2:$D$1001, 3, FALSE), "")</f>
        <v>121,000 AED</v>
      </c>
      <c r="G108" s="49">
        <f t="shared" si="2"/>
        <v>121000</v>
      </c>
      <c r="H108" s="46" t="s">
        <v>192</v>
      </c>
      <c r="I108" s="46">
        <v>104044791</v>
      </c>
      <c r="J108" s="46" t="s">
        <v>193</v>
      </c>
      <c r="K108" s="46" t="s">
        <v>204</v>
      </c>
      <c r="L108" s="46" t="s">
        <v>1192</v>
      </c>
      <c r="M108" s="46" t="b">
        <f t="shared" si="3"/>
        <v>0</v>
      </c>
    </row>
    <row r="109" spans="1:13" ht="31.2" x14ac:dyDescent="0.3">
      <c r="A109" s="46" t="s">
        <v>189</v>
      </c>
      <c r="B109" s="46" t="s">
        <v>1128</v>
      </c>
      <c r="C109" s="47">
        <v>45963</v>
      </c>
      <c r="D109" s="46" t="s">
        <v>241</v>
      </c>
      <c r="E109" s="46" t="str">
        <f>IFERROR(VLOOKUP(TRIM(D109), Collection!$B$2:$D$1001, 2, FALSE), "")</f>
        <v>Overseas chronograph</v>
      </c>
      <c r="F109" s="49" t="str">
        <f>IFERROR(VLOOKUP(TRIM(D109), Collection!$B$2:$D$1001, 3, FALSE), "")</f>
        <v>135,000 AED</v>
      </c>
      <c r="G109" s="49">
        <f t="shared" si="2"/>
        <v>135000</v>
      </c>
      <c r="H109" s="46" t="s">
        <v>192</v>
      </c>
      <c r="I109" s="46">
        <v>104048409</v>
      </c>
      <c r="J109" s="46" t="s">
        <v>193</v>
      </c>
      <c r="K109" s="46" t="s">
        <v>204</v>
      </c>
      <c r="L109" s="46" t="s">
        <v>1193</v>
      </c>
      <c r="M109" s="46" t="b">
        <f t="shared" si="3"/>
        <v>0</v>
      </c>
    </row>
    <row r="110" spans="1:13" ht="31.2" x14ac:dyDescent="0.3">
      <c r="A110" s="46" t="s">
        <v>189</v>
      </c>
      <c r="B110" s="46" t="s">
        <v>1128</v>
      </c>
      <c r="C110" s="47">
        <v>45963</v>
      </c>
      <c r="D110" s="46" t="s">
        <v>200</v>
      </c>
      <c r="E110" s="46" t="str">
        <f>IFERROR(VLOOKUP(TRIM(D110), Collection!$B$2:$D$1001, 2, FALSE), "")</f>
        <v>Historiques 222</v>
      </c>
      <c r="F110" s="49" t="str">
        <f>IFERROR(VLOOKUP(TRIM(D110), Collection!$B$2:$D$1001, 3, FALSE), "")</f>
        <v>121,000 AED</v>
      </c>
      <c r="G110" s="49">
        <f t="shared" si="2"/>
        <v>121000</v>
      </c>
      <c r="H110" s="46" t="s">
        <v>192</v>
      </c>
      <c r="I110" s="46">
        <v>104044621</v>
      </c>
      <c r="J110" s="46" t="s">
        <v>193</v>
      </c>
      <c r="K110" s="46" t="s">
        <v>201</v>
      </c>
      <c r="L110" s="46" t="s">
        <v>1128</v>
      </c>
      <c r="M110" s="46" t="b">
        <f t="shared" si="3"/>
        <v>0</v>
      </c>
    </row>
    <row r="111" spans="1:13" ht="31.2" x14ac:dyDescent="0.3">
      <c r="A111" s="46" t="s">
        <v>189</v>
      </c>
      <c r="B111" s="46" t="s">
        <v>1128</v>
      </c>
      <c r="C111" s="47">
        <v>45840</v>
      </c>
      <c r="D111" s="46" t="s">
        <v>200</v>
      </c>
      <c r="E111" s="46" t="str">
        <f>IFERROR(VLOOKUP(TRIM(D111), Collection!$B$2:$D$1001, 2, FALSE), "")</f>
        <v>Historiques 222</v>
      </c>
      <c r="F111" s="49" t="str">
        <f>IFERROR(VLOOKUP(TRIM(D111), Collection!$B$2:$D$1001, 3, FALSE), "")</f>
        <v>121,000 AED</v>
      </c>
      <c r="G111" s="49">
        <f t="shared" si="2"/>
        <v>121000</v>
      </c>
      <c r="H111" s="46" t="s">
        <v>192</v>
      </c>
      <c r="I111" s="46">
        <v>103976282</v>
      </c>
      <c r="J111" s="46" t="s">
        <v>193</v>
      </c>
      <c r="K111" s="46" t="s">
        <v>201</v>
      </c>
      <c r="L111" s="46" t="s">
        <v>1128</v>
      </c>
      <c r="M111" s="46" t="b">
        <f t="shared" si="3"/>
        <v>0</v>
      </c>
    </row>
    <row r="112" spans="1:13" ht="31.2" x14ac:dyDescent="0.3">
      <c r="A112" s="46" t="s">
        <v>189</v>
      </c>
      <c r="B112" s="46" t="s">
        <v>1128</v>
      </c>
      <c r="C112" s="47">
        <v>45840</v>
      </c>
      <c r="D112" s="46" t="s">
        <v>200</v>
      </c>
      <c r="E112" s="46" t="str">
        <f>IFERROR(VLOOKUP(TRIM(D112), Collection!$B$2:$D$1001, 2, FALSE), "")</f>
        <v>Historiques 222</v>
      </c>
      <c r="F112" s="49" t="str">
        <f>IFERROR(VLOOKUP(TRIM(D112), Collection!$B$2:$D$1001, 3, FALSE), "")</f>
        <v>121,000 AED</v>
      </c>
      <c r="G112" s="49">
        <f t="shared" si="2"/>
        <v>121000</v>
      </c>
      <c r="H112" s="46" t="s">
        <v>192</v>
      </c>
      <c r="I112" s="46">
        <v>103985685</v>
      </c>
      <c r="J112" s="46" t="s">
        <v>193</v>
      </c>
      <c r="K112" s="46" t="s">
        <v>201</v>
      </c>
      <c r="L112" s="46" t="s">
        <v>1128</v>
      </c>
      <c r="M112" s="46" t="b">
        <f t="shared" si="3"/>
        <v>0</v>
      </c>
    </row>
    <row r="113" spans="1:13" ht="31.2" x14ac:dyDescent="0.3">
      <c r="A113" s="46" t="s">
        <v>189</v>
      </c>
      <c r="B113" s="46" t="s">
        <v>1128</v>
      </c>
      <c r="C113" s="47">
        <v>45840</v>
      </c>
      <c r="D113" s="46" t="s">
        <v>241</v>
      </c>
      <c r="E113" s="46" t="str">
        <f>IFERROR(VLOOKUP(TRIM(D113), Collection!$B$2:$D$1001, 2, FALSE), "")</f>
        <v>Overseas chronograph</v>
      </c>
      <c r="F113" s="49" t="str">
        <f>IFERROR(VLOOKUP(TRIM(D113), Collection!$B$2:$D$1001, 3, FALSE), "")</f>
        <v>135,000 AED</v>
      </c>
      <c r="G113" s="49">
        <f t="shared" si="2"/>
        <v>135000</v>
      </c>
      <c r="H113" s="46" t="s">
        <v>192</v>
      </c>
      <c r="I113" s="46">
        <v>103471315</v>
      </c>
      <c r="J113" s="46" t="s">
        <v>193</v>
      </c>
      <c r="K113" s="46" t="s">
        <v>194</v>
      </c>
      <c r="L113" s="46" t="s">
        <v>1128</v>
      </c>
      <c r="M113" s="46" t="b">
        <f t="shared" si="3"/>
        <v>0</v>
      </c>
    </row>
    <row r="114" spans="1:13" ht="31.2" x14ac:dyDescent="0.3">
      <c r="A114" s="46" t="s">
        <v>189</v>
      </c>
      <c r="B114" s="46" t="s">
        <v>1128</v>
      </c>
      <c r="C114" s="47">
        <v>45779</v>
      </c>
      <c r="D114" s="46" t="s">
        <v>120</v>
      </c>
      <c r="E114" s="46" t="str">
        <f>IFERROR(VLOOKUP(TRIM(D114), Collection!$B$2:$D$1001, 2, FALSE), "")</f>
        <v>Overseas self-winding</v>
      </c>
      <c r="F114" s="49" t="str">
        <f>IFERROR(VLOOKUP(TRIM(D114), Collection!$B$2:$D$1001, 3, FALSE), "")</f>
        <v>94,500 AED</v>
      </c>
      <c r="G114" s="49">
        <f t="shared" si="2"/>
        <v>94500</v>
      </c>
      <c r="H114" s="46" t="s">
        <v>192</v>
      </c>
      <c r="I114" s="46">
        <v>103937781</v>
      </c>
      <c r="J114" s="46" t="s">
        <v>193</v>
      </c>
      <c r="K114" s="46" t="s">
        <v>204</v>
      </c>
      <c r="L114" s="46" t="s">
        <v>1194</v>
      </c>
      <c r="M114" s="46" t="b">
        <f t="shared" si="3"/>
        <v>0</v>
      </c>
    </row>
    <row r="115" spans="1:13" ht="31.2" x14ac:dyDescent="0.3">
      <c r="A115" s="46" t="s">
        <v>189</v>
      </c>
      <c r="B115" s="46" t="s">
        <v>1128</v>
      </c>
      <c r="C115" s="47">
        <v>45779</v>
      </c>
      <c r="D115" s="46" t="s">
        <v>200</v>
      </c>
      <c r="E115" s="46" t="str">
        <f>IFERROR(VLOOKUP(TRIM(D115), Collection!$B$2:$D$1001, 2, FALSE), "")</f>
        <v>Historiques 222</v>
      </c>
      <c r="F115" s="49" t="str">
        <f>IFERROR(VLOOKUP(TRIM(D115), Collection!$B$2:$D$1001, 3, FALSE), "")</f>
        <v>121,000 AED</v>
      </c>
      <c r="G115" s="49">
        <f t="shared" si="2"/>
        <v>121000</v>
      </c>
      <c r="H115" s="46" t="s">
        <v>192</v>
      </c>
      <c r="I115" s="46">
        <v>92425936</v>
      </c>
      <c r="J115" s="46" t="s">
        <v>248</v>
      </c>
      <c r="K115" s="46" t="s">
        <v>201</v>
      </c>
      <c r="L115" s="46" t="s">
        <v>1128</v>
      </c>
      <c r="M115" s="46" t="b">
        <f t="shared" si="3"/>
        <v>0</v>
      </c>
    </row>
    <row r="116" spans="1:13" ht="46.8" x14ac:dyDescent="0.3">
      <c r="A116" s="46" t="s">
        <v>189</v>
      </c>
      <c r="B116" s="46" t="s">
        <v>1128</v>
      </c>
      <c r="C116" s="47">
        <v>45779</v>
      </c>
      <c r="D116" s="46" t="s">
        <v>128</v>
      </c>
      <c r="E116" s="46" t="str">
        <f>IFERROR(VLOOKUP(TRIM(D116), Collection!$B$2:$D$1001, 2, FALSE), "")</f>
        <v>Overseas chronograph Pink Gold</v>
      </c>
      <c r="F116" s="49" t="str">
        <f>IFERROR(VLOOKUP(TRIM(D116), Collection!$B$2:$D$1001, 3, FALSE), "")</f>
        <v>299,000 AED</v>
      </c>
      <c r="G116" s="49">
        <f t="shared" si="2"/>
        <v>299000</v>
      </c>
      <c r="H116" s="46" t="s">
        <v>192</v>
      </c>
      <c r="I116" s="46">
        <v>104459131</v>
      </c>
      <c r="J116" s="46" t="s">
        <v>193</v>
      </c>
      <c r="K116" s="46" t="s">
        <v>194</v>
      </c>
      <c r="L116" s="46"/>
      <c r="M116" s="46" t="b">
        <f t="shared" si="3"/>
        <v>1</v>
      </c>
    </row>
    <row r="117" spans="1:13" ht="31.2" x14ac:dyDescent="0.3">
      <c r="A117" s="46" t="s">
        <v>189</v>
      </c>
      <c r="B117" s="46" t="s">
        <v>1128</v>
      </c>
      <c r="C117" s="47">
        <v>45749</v>
      </c>
      <c r="D117" s="46" t="s">
        <v>56</v>
      </c>
      <c r="E117" s="46" t="str">
        <f>IFERROR(VLOOKUP(TRIM(D117), Collection!$B$2:$D$1001, 2, FALSE), "")</f>
        <v>Overseas dual time Blue</v>
      </c>
      <c r="F117" s="49" t="str">
        <f>IFERROR(VLOOKUP(TRIM(D117), Collection!$B$2:$D$1001, 3, FALSE), "")</f>
        <v>117,000 AED</v>
      </c>
      <c r="G117" s="49">
        <f t="shared" si="2"/>
        <v>117000</v>
      </c>
      <c r="H117" s="46" t="s">
        <v>192</v>
      </c>
      <c r="I117" s="46">
        <v>103879055</v>
      </c>
      <c r="J117" s="46" t="s">
        <v>193</v>
      </c>
      <c r="K117" s="46" t="s">
        <v>204</v>
      </c>
      <c r="L117" s="46" t="s">
        <v>1195</v>
      </c>
      <c r="M117" s="46" t="b">
        <f t="shared" si="3"/>
        <v>0</v>
      </c>
    </row>
    <row r="118" spans="1:13" ht="46.8" x14ac:dyDescent="0.3">
      <c r="A118" s="46" t="s">
        <v>189</v>
      </c>
      <c r="B118" s="46" t="s">
        <v>1128</v>
      </c>
      <c r="C118" s="47">
        <v>45749</v>
      </c>
      <c r="D118" s="46" t="s">
        <v>89</v>
      </c>
      <c r="E118" s="46" t="str">
        <f>IFERROR(VLOOKUP(TRIM(D118), Collection!$B$2:$D$1001, 2, FALSE), "")</f>
        <v>Fiftysix self-winding</v>
      </c>
      <c r="F118" s="49" t="str">
        <f>IFERROR(VLOOKUP(TRIM(D118), Collection!$B$2:$D$1001, 3, FALSE), "")</f>
        <v>48,000 AED</v>
      </c>
      <c r="G118" s="49">
        <f t="shared" si="2"/>
        <v>48000</v>
      </c>
      <c r="H118" s="46" t="s">
        <v>192</v>
      </c>
      <c r="I118" s="46">
        <v>103936063</v>
      </c>
      <c r="J118" s="46" t="s">
        <v>193</v>
      </c>
      <c r="K118" s="46" t="s">
        <v>204</v>
      </c>
      <c r="L118" s="46" t="s">
        <v>1196</v>
      </c>
      <c r="M118" s="46" t="b">
        <f t="shared" si="3"/>
        <v>1</v>
      </c>
    </row>
    <row r="119" spans="1:13" ht="31.2" x14ac:dyDescent="0.3">
      <c r="A119" s="46" t="s">
        <v>189</v>
      </c>
      <c r="B119" s="46" t="s">
        <v>1128</v>
      </c>
      <c r="C119" s="47">
        <v>45749</v>
      </c>
      <c r="D119" s="46" t="s">
        <v>200</v>
      </c>
      <c r="E119" s="46" t="str">
        <f>IFERROR(VLOOKUP(TRIM(D119), Collection!$B$2:$D$1001, 2, FALSE), "")</f>
        <v>Historiques 222</v>
      </c>
      <c r="F119" s="49" t="str">
        <f>IFERROR(VLOOKUP(TRIM(D119), Collection!$B$2:$D$1001, 3, FALSE), "")</f>
        <v>121,000 AED</v>
      </c>
      <c r="G119" s="49">
        <f t="shared" si="2"/>
        <v>121000</v>
      </c>
      <c r="H119" s="46" t="s">
        <v>192</v>
      </c>
      <c r="I119" s="46">
        <v>103936063</v>
      </c>
      <c r="J119" s="46" t="s">
        <v>193</v>
      </c>
      <c r="K119" s="46" t="s">
        <v>204</v>
      </c>
      <c r="L119" s="46" t="s">
        <v>1197</v>
      </c>
      <c r="M119" s="46" t="b">
        <f t="shared" si="3"/>
        <v>0</v>
      </c>
    </row>
    <row r="120" spans="1:13" ht="31.2" x14ac:dyDescent="0.3">
      <c r="A120" s="46" t="s">
        <v>189</v>
      </c>
      <c r="B120" s="46" t="s">
        <v>1128</v>
      </c>
      <c r="C120" s="47">
        <v>45749</v>
      </c>
      <c r="D120" s="46" t="s">
        <v>89</v>
      </c>
      <c r="E120" s="46" t="str">
        <f>IFERROR(VLOOKUP(TRIM(D120), Collection!$B$2:$D$1001, 2, FALSE), "")</f>
        <v>Fiftysix self-winding</v>
      </c>
      <c r="F120" s="49" t="str">
        <f>IFERROR(VLOOKUP(TRIM(D120), Collection!$B$2:$D$1001, 3, FALSE), "")</f>
        <v>48,000 AED</v>
      </c>
      <c r="G120" s="49">
        <f t="shared" si="2"/>
        <v>48000</v>
      </c>
      <c r="H120" s="46" t="s">
        <v>192</v>
      </c>
      <c r="I120" s="46">
        <v>103936120</v>
      </c>
      <c r="J120" s="46" t="s">
        <v>193</v>
      </c>
      <c r="K120" s="46" t="s">
        <v>201</v>
      </c>
      <c r="L120" s="46" t="s">
        <v>1128</v>
      </c>
      <c r="M120" s="46" t="b">
        <f t="shared" si="3"/>
        <v>1</v>
      </c>
    </row>
    <row r="121" spans="1:13" ht="31.2" x14ac:dyDescent="0.3">
      <c r="A121" s="46" t="s">
        <v>189</v>
      </c>
      <c r="B121" s="46" t="s">
        <v>1128</v>
      </c>
      <c r="C121" s="47">
        <v>45749</v>
      </c>
      <c r="D121" s="46" t="s">
        <v>200</v>
      </c>
      <c r="E121" s="46" t="str">
        <f>IFERROR(VLOOKUP(TRIM(D121), Collection!$B$2:$D$1001, 2, FALSE), "")</f>
        <v>Historiques 222</v>
      </c>
      <c r="F121" s="49" t="str">
        <f>IFERROR(VLOOKUP(TRIM(D121), Collection!$B$2:$D$1001, 3, FALSE), "")</f>
        <v>121,000 AED</v>
      </c>
      <c r="G121" s="49">
        <f t="shared" si="2"/>
        <v>121000</v>
      </c>
      <c r="H121" s="46" t="s">
        <v>192</v>
      </c>
      <c r="I121" s="46">
        <v>103873184</v>
      </c>
      <c r="J121" s="46" t="s">
        <v>193</v>
      </c>
      <c r="K121" s="46" t="s">
        <v>201</v>
      </c>
      <c r="L121" s="46" t="s">
        <v>1128</v>
      </c>
      <c r="M121" s="46" t="b">
        <f t="shared" si="3"/>
        <v>0</v>
      </c>
    </row>
    <row r="122" spans="1:13" ht="31.2" x14ac:dyDescent="0.3">
      <c r="A122" s="46" t="s">
        <v>189</v>
      </c>
      <c r="B122" s="46" t="s">
        <v>1128</v>
      </c>
      <c r="C122" s="47">
        <v>45749</v>
      </c>
      <c r="D122" s="46" t="s">
        <v>200</v>
      </c>
      <c r="E122" s="46" t="str">
        <f>IFERROR(VLOOKUP(TRIM(D122), Collection!$B$2:$D$1001, 2, FALSE), "")</f>
        <v>Historiques 222</v>
      </c>
      <c r="F122" s="49" t="str">
        <f>IFERROR(VLOOKUP(TRIM(D122), Collection!$B$2:$D$1001, 3, FALSE), "")</f>
        <v>121,000 AED</v>
      </c>
      <c r="G122" s="49">
        <f t="shared" si="2"/>
        <v>121000</v>
      </c>
      <c r="H122" s="46" t="s">
        <v>192</v>
      </c>
      <c r="I122" s="46">
        <v>103890141</v>
      </c>
      <c r="J122" s="46" t="s">
        <v>193</v>
      </c>
      <c r="K122" s="46" t="s">
        <v>201</v>
      </c>
      <c r="L122" s="46" t="s">
        <v>1128</v>
      </c>
      <c r="M122" s="46" t="b">
        <f t="shared" si="3"/>
        <v>0</v>
      </c>
    </row>
    <row r="123" spans="1:13" ht="31.2" x14ac:dyDescent="0.3">
      <c r="A123" s="46" t="s">
        <v>189</v>
      </c>
      <c r="B123" s="46" t="s">
        <v>1128</v>
      </c>
      <c r="C123" s="47">
        <v>45749</v>
      </c>
      <c r="D123" s="46" t="s">
        <v>200</v>
      </c>
      <c r="E123" s="46" t="str">
        <f>IFERROR(VLOOKUP(TRIM(D123), Collection!$B$2:$D$1001, 2, FALSE), "")</f>
        <v>Historiques 222</v>
      </c>
      <c r="F123" s="49" t="str">
        <f>IFERROR(VLOOKUP(TRIM(D123), Collection!$B$2:$D$1001, 3, FALSE), "")</f>
        <v>121,000 AED</v>
      </c>
      <c r="G123" s="49">
        <f t="shared" si="2"/>
        <v>121000</v>
      </c>
      <c r="H123" s="46" t="s">
        <v>192</v>
      </c>
      <c r="I123" s="46">
        <v>103844198</v>
      </c>
      <c r="J123" s="46" t="s">
        <v>193</v>
      </c>
      <c r="K123" s="46" t="s">
        <v>201</v>
      </c>
      <c r="L123" s="46" t="s">
        <v>1128</v>
      </c>
      <c r="M123" s="46" t="b">
        <f t="shared" si="3"/>
        <v>0</v>
      </c>
    </row>
    <row r="124" spans="1:13" ht="78" x14ac:dyDescent="0.3">
      <c r="A124" s="46" t="s">
        <v>189</v>
      </c>
      <c r="B124" s="46" t="s">
        <v>1128</v>
      </c>
      <c r="C124" s="47">
        <v>45749</v>
      </c>
      <c r="D124" s="46" t="s">
        <v>485</v>
      </c>
      <c r="E124" s="46" t="str">
        <f>IFERROR(VLOOKUP(TRIM(D124), Collection!$B$2:$D$1001, 2, FALSE), "")</f>
        <v>Patrimony retrograde day-date</v>
      </c>
      <c r="F124" s="49" t="str">
        <f>IFERROR(VLOOKUP(TRIM(D124), Collection!$B$2:$D$1001, 3, FALSE), "")</f>
        <v>234,000 AED</v>
      </c>
      <c r="G124" s="49">
        <f t="shared" si="2"/>
        <v>234000</v>
      </c>
      <c r="H124" s="46" t="s">
        <v>192</v>
      </c>
      <c r="I124" s="46">
        <v>103677618</v>
      </c>
      <c r="J124" s="46" t="s">
        <v>193</v>
      </c>
      <c r="K124" s="46" t="s">
        <v>194</v>
      </c>
      <c r="L124" s="46" t="s">
        <v>1198</v>
      </c>
      <c r="M124" s="46" t="b">
        <f t="shared" si="3"/>
        <v>0</v>
      </c>
    </row>
    <row r="125" spans="1:13" ht="31.2" x14ac:dyDescent="0.3">
      <c r="A125" s="46" t="s">
        <v>189</v>
      </c>
      <c r="B125" s="46" t="s">
        <v>1128</v>
      </c>
      <c r="C125" s="47">
        <v>45749</v>
      </c>
      <c r="D125" s="46" t="s">
        <v>80</v>
      </c>
      <c r="E125" s="46" t="str">
        <f>IFERROR(VLOOKUP(TRIM(D125), Collection!$B$2:$D$1001, 2, FALSE), "")</f>
        <v>Historiques 222</v>
      </c>
      <c r="F125" s="49" t="str">
        <f>IFERROR(VLOOKUP(TRIM(D125), Collection!$B$2:$D$1001, 3, FALSE), "")</f>
        <v>279,000 AED</v>
      </c>
      <c r="G125" s="49">
        <f t="shared" si="2"/>
        <v>279000</v>
      </c>
      <c r="H125" s="46" t="s">
        <v>192</v>
      </c>
      <c r="I125" s="46">
        <v>103677618</v>
      </c>
      <c r="J125" s="46" t="s">
        <v>193</v>
      </c>
      <c r="K125" s="46" t="s">
        <v>194</v>
      </c>
      <c r="L125" s="46" t="s">
        <v>1199</v>
      </c>
      <c r="M125" s="46" t="b">
        <f t="shared" si="3"/>
        <v>1</v>
      </c>
    </row>
    <row r="126" spans="1:13" ht="62.4" x14ac:dyDescent="0.3">
      <c r="A126" s="46" t="s">
        <v>189</v>
      </c>
      <c r="B126" s="46" t="s">
        <v>1128</v>
      </c>
      <c r="C126" s="47">
        <v>45749</v>
      </c>
      <c r="D126" s="46" t="s">
        <v>132</v>
      </c>
      <c r="E126" s="46" t="str">
        <f>IFERROR(VLOOKUP(TRIM(D126), Collection!$B$2:$D$1001, 2, FALSE), "")</f>
        <v>Overseas moon phase retrograde date</v>
      </c>
      <c r="F126" s="49" t="str">
        <f>IFERROR(VLOOKUP(TRIM(D126), Collection!$B$2:$D$1001, 3, FALSE), "")</f>
        <v>166,000 AED</v>
      </c>
      <c r="G126" s="49">
        <f t="shared" si="2"/>
        <v>166000</v>
      </c>
      <c r="H126" s="46" t="s">
        <v>192</v>
      </c>
      <c r="I126" s="46">
        <v>103658184</v>
      </c>
      <c r="J126" s="46" t="s">
        <v>193</v>
      </c>
      <c r="K126" s="46" t="s">
        <v>194</v>
      </c>
      <c r="L126" s="46" t="s">
        <v>1200</v>
      </c>
      <c r="M126" s="46" t="b">
        <f t="shared" si="3"/>
        <v>0</v>
      </c>
    </row>
    <row r="127" spans="1:13" ht="31.2" x14ac:dyDescent="0.3">
      <c r="A127" s="46" t="s">
        <v>189</v>
      </c>
      <c r="B127" s="46" t="s">
        <v>1128</v>
      </c>
      <c r="C127" s="46" t="s">
        <v>490</v>
      </c>
      <c r="D127" s="46" t="s">
        <v>200</v>
      </c>
      <c r="E127" s="46" t="str">
        <f>IFERROR(VLOOKUP(TRIM(D127), Collection!$B$2:$D$1001, 2, FALSE), "")</f>
        <v>Historiques 222</v>
      </c>
      <c r="F127" s="49" t="str">
        <f>IFERROR(VLOOKUP(TRIM(D127), Collection!$B$2:$D$1001, 3, FALSE), "")</f>
        <v>121,000 AED</v>
      </c>
      <c r="G127" s="49">
        <f t="shared" si="2"/>
        <v>121000</v>
      </c>
      <c r="H127" s="46" t="s">
        <v>192</v>
      </c>
      <c r="I127" s="46">
        <v>103844750</v>
      </c>
      <c r="J127" s="46" t="s">
        <v>193</v>
      </c>
      <c r="K127" s="46" t="s">
        <v>201</v>
      </c>
      <c r="L127" s="46" t="s">
        <v>1128</v>
      </c>
      <c r="M127" s="46" t="b">
        <f t="shared" si="3"/>
        <v>0</v>
      </c>
    </row>
    <row r="128" spans="1:13" ht="62.4" x14ac:dyDescent="0.3">
      <c r="A128" s="46" t="s">
        <v>189</v>
      </c>
      <c r="B128" s="46" t="s">
        <v>1128</v>
      </c>
      <c r="C128" s="46" t="s">
        <v>490</v>
      </c>
      <c r="D128" s="46" t="s">
        <v>209</v>
      </c>
      <c r="E128" s="46" t="str">
        <f>IFERROR(VLOOKUP(TRIM(D128), Collection!$B$2:$D$1001, 2, FALSE), "")</f>
        <v>Overseas self-winding</v>
      </c>
      <c r="F128" s="49" t="str">
        <f>IFERROR(VLOOKUP(TRIM(D128), Collection!$B$2:$D$1001, 3, FALSE), "")</f>
        <v>94,500 AED</v>
      </c>
      <c r="G128" s="49">
        <f t="shared" si="2"/>
        <v>94500</v>
      </c>
      <c r="H128" s="46" t="s">
        <v>192</v>
      </c>
      <c r="I128" s="46">
        <v>101917600</v>
      </c>
      <c r="J128" s="46" t="s">
        <v>193</v>
      </c>
      <c r="K128" s="46" t="s">
        <v>201</v>
      </c>
      <c r="L128" s="46" t="s">
        <v>1201</v>
      </c>
      <c r="M128" s="46" t="b">
        <f t="shared" si="3"/>
        <v>0</v>
      </c>
    </row>
    <row r="129" spans="1:13" ht="31.2" x14ac:dyDescent="0.3">
      <c r="A129" s="46" t="s">
        <v>189</v>
      </c>
      <c r="B129" s="46" t="s">
        <v>1128</v>
      </c>
      <c r="C129" s="46" t="s">
        <v>494</v>
      </c>
      <c r="D129" s="46" t="s">
        <v>200</v>
      </c>
      <c r="E129" s="46" t="str">
        <f>IFERROR(VLOOKUP(TRIM(D129), Collection!$B$2:$D$1001, 2, FALSE), "")</f>
        <v>Historiques 222</v>
      </c>
      <c r="F129" s="49" t="str">
        <f>IFERROR(VLOOKUP(TRIM(D129), Collection!$B$2:$D$1001, 3, FALSE), "")</f>
        <v>121,000 AED</v>
      </c>
      <c r="G129" s="49">
        <f t="shared" si="2"/>
        <v>121000</v>
      </c>
      <c r="H129" s="46" t="s">
        <v>192</v>
      </c>
      <c r="I129" s="46">
        <v>103842376</v>
      </c>
      <c r="J129" s="46" t="s">
        <v>193</v>
      </c>
      <c r="K129" s="46" t="s">
        <v>201</v>
      </c>
      <c r="L129" s="46" t="s">
        <v>1128</v>
      </c>
      <c r="M129" s="46" t="b">
        <f t="shared" si="3"/>
        <v>0</v>
      </c>
    </row>
    <row r="130" spans="1:13" ht="31.2" x14ac:dyDescent="0.3">
      <c r="A130" s="46" t="s">
        <v>69</v>
      </c>
      <c r="B130" s="46" t="s">
        <v>229</v>
      </c>
      <c r="C130" s="46" t="s">
        <v>494</v>
      </c>
      <c r="D130" s="46" t="s">
        <v>56</v>
      </c>
      <c r="E130" s="46" t="str">
        <f>IFERROR(VLOOKUP(TRIM(D130), Collection!$B$2:$D$1001, 2, FALSE), "")</f>
        <v>Overseas dual time Blue</v>
      </c>
      <c r="F130" s="49" t="str">
        <f>IFERROR(VLOOKUP(TRIM(D130), Collection!$B$2:$D$1001, 3, FALSE), "")</f>
        <v>117,000 AED</v>
      </c>
      <c r="G130" s="49">
        <f t="shared" ref="G130:G193" si="4">IFERROR(VALUE(SUBSTITUTE(SUBSTITUTE(F130, "Price", ""), "AED", "")), "")</f>
        <v>117000</v>
      </c>
      <c r="H130" s="46" t="s">
        <v>192</v>
      </c>
      <c r="I130" s="46">
        <v>91001874</v>
      </c>
      <c r="J130" s="46" t="s">
        <v>193</v>
      </c>
      <c r="K130" s="46" t="s">
        <v>204</v>
      </c>
      <c r="L130" s="46" t="s">
        <v>1202</v>
      </c>
      <c r="M130" s="46" t="b">
        <f t="shared" ref="M130:M193" si="5">IF(COUNTIF($R$3:$R$100, D130) &gt; 0, TRUE, FALSE)</f>
        <v>0</v>
      </c>
    </row>
    <row r="131" spans="1:13" ht="31.2" x14ac:dyDescent="0.3">
      <c r="A131" s="46" t="s">
        <v>189</v>
      </c>
      <c r="B131" s="46" t="s">
        <v>1128</v>
      </c>
      <c r="C131" s="46" t="s">
        <v>494</v>
      </c>
      <c r="D131" s="46" t="s">
        <v>200</v>
      </c>
      <c r="E131" s="46" t="str">
        <f>IFERROR(VLOOKUP(TRIM(D131), Collection!$B$2:$D$1001, 2, FALSE), "")</f>
        <v>Historiques 222</v>
      </c>
      <c r="F131" s="49" t="str">
        <f>IFERROR(VLOOKUP(TRIM(D131), Collection!$B$2:$D$1001, 3, FALSE), "")</f>
        <v>121,000 AED</v>
      </c>
      <c r="G131" s="49">
        <f t="shared" si="4"/>
        <v>121000</v>
      </c>
      <c r="H131" s="46" t="s">
        <v>192</v>
      </c>
      <c r="I131" s="46">
        <v>103831073</v>
      </c>
      <c r="J131" s="46" t="s">
        <v>193</v>
      </c>
      <c r="K131" s="46" t="s">
        <v>194</v>
      </c>
      <c r="L131" s="46" t="s">
        <v>1128</v>
      </c>
      <c r="M131" s="46" t="b">
        <f t="shared" si="5"/>
        <v>0</v>
      </c>
    </row>
    <row r="132" spans="1:13" ht="62.4" x14ac:dyDescent="0.3">
      <c r="A132" s="46" t="s">
        <v>189</v>
      </c>
      <c r="B132" s="46" t="s">
        <v>1128</v>
      </c>
      <c r="C132" s="46" t="s">
        <v>494</v>
      </c>
      <c r="D132" s="46" t="s">
        <v>80</v>
      </c>
      <c r="E132" s="46" t="str">
        <f>IFERROR(VLOOKUP(TRIM(D132), Collection!$B$2:$D$1001, 2, FALSE), "")</f>
        <v>Historiques 222</v>
      </c>
      <c r="F132" s="49" t="str">
        <f>IFERROR(VLOOKUP(TRIM(D132), Collection!$B$2:$D$1001, 3, FALSE), "")</f>
        <v>279,000 AED</v>
      </c>
      <c r="G132" s="49">
        <f t="shared" si="4"/>
        <v>279000</v>
      </c>
      <c r="H132" s="46" t="s">
        <v>192</v>
      </c>
      <c r="I132" s="46">
        <v>101584631</v>
      </c>
      <c r="J132" s="46" t="s">
        <v>193</v>
      </c>
      <c r="K132" s="46" t="s">
        <v>204</v>
      </c>
      <c r="L132" s="46" t="s">
        <v>1203</v>
      </c>
      <c r="M132" s="46" t="b">
        <f t="shared" si="5"/>
        <v>1</v>
      </c>
    </row>
    <row r="133" spans="1:13" ht="62.4" x14ac:dyDescent="0.3">
      <c r="A133" s="46" t="s">
        <v>189</v>
      </c>
      <c r="B133" s="46" t="s">
        <v>1128</v>
      </c>
      <c r="C133" s="46" t="s">
        <v>500</v>
      </c>
      <c r="D133" s="46" t="s">
        <v>501</v>
      </c>
      <c r="E133" s="46" t="str">
        <f>IFERROR(VLOOKUP(TRIM(D133), Collection!$B$2:$D$1001, 2, FALSE), "")</f>
        <v>Overseas perpetual calendar ultra-thin skeleton</v>
      </c>
      <c r="F133" s="49" t="str">
        <f>IFERROR(VLOOKUP(TRIM(D133), Collection!$B$2:$D$1001, 3, FALSE), "")</f>
        <v>605,000 AED</v>
      </c>
      <c r="G133" s="49">
        <f t="shared" si="4"/>
        <v>605000</v>
      </c>
      <c r="H133" s="46" t="s">
        <v>192</v>
      </c>
      <c r="I133" s="46">
        <v>103845937</v>
      </c>
      <c r="J133" s="46" t="s">
        <v>193</v>
      </c>
      <c r="K133" s="46" t="s">
        <v>194</v>
      </c>
      <c r="L133" s="46" t="s">
        <v>1204</v>
      </c>
      <c r="M133" s="46" t="b">
        <f t="shared" si="5"/>
        <v>0</v>
      </c>
    </row>
    <row r="134" spans="1:13" ht="202.8" x14ac:dyDescent="0.3">
      <c r="A134" s="46" t="s">
        <v>189</v>
      </c>
      <c r="B134" s="46" t="s">
        <v>1128</v>
      </c>
      <c r="C134" s="46" t="s">
        <v>500</v>
      </c>
      <c r="D134" s="46" t="s">
        <v>56</v>
      </c>
      <c r="E134" s="46" t="str">
        <f>IFERROR(VLOOKUP(TRIM(D134), Collection!$B$2:$D$1001, 2, FALSE), "")</f>
        <v>Overseas dual time Blue</v>
      </c>
      <c r="F134" s="49" t="str">
        <f>IFERROR(VLOOKUP(TRIM(D134), Collection!$B$2:$D$1001, 3, FALSE), "")</f>
        <v>117,000 AED</v>
      </c>
      <c r="G134" s="49">
        <f t="shared" si="4"/>
        <v>117000</v>
      </c>
      <c r="H134" s="46" t="s">
        <v>192</v>
      </c>
      <c r="I134" s="46">
        <v>103848588</v>
      </c>
      <c r="J134" s="46" t="s">
        <v>193</v>
      </c>
      <c r="K134" s="46" t="s">
        <v>194</v>
      </c>
      <c r="L134" s="46" t="s">
        <v>1205</v>
      </c>
      <c r="M134" s="46" t="b">
        <f t="shared" si="5"/>
        <v>0</v>
      </c>
    </row>
    <row r="135" spans="1:13" ht="140.4" x14ac:dyDescent="0.3">
      <c r="A135" s="46" t="s">
        <v>189</v>
      </c>
      <c r="B135" s="46" t="s">
        <v>1128</v>
      </c>
      <c r="C135" s="46" t="s">
        <v>500</v>
      </c>
      <c r="D135" s="46" t="s">
        <v>160</v>
      </c>
      <c r="E135" s="46" t="str">
        <f>IFERROR(VLOOKUP(TRIM(D135), Collection!$B$2:$D$1001, 2, FALSE), "")</f>
        <v>Overseas dual time Black</v>
      </c>
      <c r="F135" s="49" t="str">
        <f>IFERROR(VLOOKUP(TRIM(D135), Collection!$B$2:$D$1001, 3, FALSE), "")</f>
        <v>117,000 AED</v>
      </c>
      <c r="G135" s="49">
        <f t="shared" si="4"/>
        <v>117000</v>
      </c>
      <c r="H135" s="46" t="s">
        <v>192</v>
      </c>
      <c r="I135" s="46">
        <v>103848588</v>
      </c>
      <c r="J135" s="46" t="s">
        <v>193</v>
      </c>
      <c r="K135" s="46" t="s">
        <v>194</v>
      </c>
      <c r="L135" s="46" t="s">
        <v>1206</v>
      </c>
      <c r="M135" s="46" t="b">
        <f t="shared" si="5"/>
        <v>0</v>
      </c>
    </row>
    <row r="136" spans="1:13" ht="31.2" x14ac:dyDescent="0.3">
      <c r="A136" s="46" t="s">
        <v>189</v>
      </c>
      <c r="B136" s="46" t="s">
        <v>1128</v>
      </c>
      <c r="C136" s="46" t="s">
        <v>500</v>
      </c>
      <c r="D136" s="46" t="s">
        <v>200</v>
      </c>
      <c r="E136" s="46" t="str">
        <f>IFERROR(VLOOKUP(TRIM(D136), Collection!$B$2:$D$1001, 2, FALSE), "")</f>
        <v>Historiques 222</v>
      </c>
      <c r="F136" s="49" t="str">
        <f>IFERROR(VLOOKUP(TRIM(D136), Collection!$B$2:$D$1001, 3, FALSE), "")</f>
        <v>121,000 AED</v>
      </c>
      <c r="G136" s="49">
        <f t="shared" si="4"/>
        <v>121000</v>
      </c>
      <c r="H136" s="46" t="s">
        <v>192</v>
      </c>
      <c r="I136" s="46">
        <v>103848588</v>
      </c>
      <c r="J136" s="46" t="s">
        <v>193</v>
      </c>
      <c r="K136" s="46" t="s">
        <v>194</v>
      </c>
      <c r="L136" s="46" t="s">
        <v>1128</v>
      </c>
      <c r="M136" s="46" t="b">
        <f t="shared" si="5"/>
        <v>0</v>
      </c>
    </row>
    <row r="137" spans="1:13" ht="31.2" x14ac:dyDescent="0.3">
      <c r="A137" s="46" t="s">
        <v>189</v>
      </c>
      <c r="B137" s="46" t="s">
        <v>1128</v>
      </c>
      <c r="C137" s="46" t="s">
        <v>507</v>
      </c>
      <c r="D137" s="46" t="s">
        <v>200</v>
      </c>
      <c r="E137" s="46" t="str">
        <f>IFERROR(VLOOKUP(TRIM(D137), Collection!$B$2:$D$1001, 2, FALSE), "")</f>
        <v>Historiques 222</v>
      </c>
      <c r="F137" s="49" t="str">
        <f>IFERROR(VLOOKUP(TRIM(D137), Collection!$B$2:$D$1001, 3, FALSE), "")</f>
        <v>121,000 AED</v>
      </c>
      <c r="G137" s="49">
        <f t="shared" si="4"/>
        <v>121000</v>
      </c>
      <c r="H137" s="46" t="s">
        <v>192</v>
      </c>
      <c r="I137" s="46">
        <v>103830768</v>
      </c>
      <c r="J137" s="46" t="s">
        <v>193</v>
      </c>
      <c r="K137" s="46" t="s">
        <v>201</v>
      </c>
      <c r="L137" s="46" t="s">
        <v>1128</v>
      </c>
      <c r="M137" s="46" t="b">
        <f t="shared" si="5"/>
        <v>0</v>
      </c>
    </row>
    <row r="138" spans="1:13" ht="31.2" x14ac:dyDescent="0.3">
      <c r="A138" s="46" t="s">
        <v>189</v>
      </c>
      <c r="B138" s="46" t="s">
        <v>1128</v>
      </c>
      <c r="C138" s="46" t="s">
        <v>507</v>
      </c>
      <c r="D138" s="46" t="s">
        <v>120</v>
      </c>
      <c r="E138" s="46" t="str">
        <f>IFERROR(VLOOKUP(TRIM(D138), Collection!$B$2:$D$1001, 2, FALSE), "")</f>
        <v>Overseas self-winding</v>
      </c>
      <c r="F138" s="49" t="str">
        <f>IFERROR(VLOOKUP(TRIM(D138), Collection!$B$2:$D$1001, 3, FALSE), "")</f>
        <v>94,500 AED</v>
      </c>
      <c r="G138" s="49">
        <f t="shared" si="4"/>
        <v>94500</v>
      </c>
      <c r="H138" s="46" t="s">
        <v>192</v>
      </c>
      <c r="I138" s="46">
        <v>103415632</v>
      </c>
      <c r="J138" s="46" t="s">
        <v>193</v>
      </c>
      <c r="K138" s="46" t="s">
        <v>201</v>
      </c>
      <c r="L138" s="46" t="s">
        <v>1128</v>
      </c>
      <c r="M138" s="46" t="b">
        <f t="shared" si="5"/>
        <v>0</v>
      </c>
    </row>
    <row r="139" spans="1:13" ht="31.2" x14ac:dyDescent="0.3">
      <c r="A139" s="46" t="s">
        <v>189</v>
      </c>
      <c r="B139" s="46" t="s">
        <v>1128</v>
      </c>
      <c r="C139" s="46" t="s">
        <v>507</v>
      </c>
      <c r="D139" s="46" t="s">
        <v>200</v>
      </c>
      <c r="E139" s="46" t="str">
        <f>IFERROR(VLOOKUP(TRIM(D139), Collection!$B$2:$D$1001, 2, FALSE), "")</f>
        <v>Historiques 222</v>
      </c>
      <c r="F139" s="49" t="str">
        <f>IFERROR(VLOOKUP(TRIM(D139), Collection!$B$2:$D$1001, 3, FALSE), "")</f>
        <v>121,000 AED</v>
      </c>
      <c r="G139" s="49">
        <f t="shared" si="4"/>
        <v>121000</v>
      </c>
      <c r="H139" s="46" t="s">
        <v>192</v>
      </c>
      <c r="I139" s="46">
        <v>103832238</v>
      </c>
      <c r="J139" s="46" t="s">
        <v>193</v>
      </c>
      <c r="K139" s="46" t="s">
        <v>201</v>
      </c>
      <c r="L139" s="46" t="s">
        <v>1128</v>
      </c>
      <c r="M139" s="46" t="b">
        <f t="shared" si="5"/>
        <v>0</v>
      </c>
    </row>
    <row r="140" spans="1:13" ht="31.2" x14ac:dyDescent="0.3">
      <c r="A140" s="46" t="s">
        <v>189</v>
      </c>
      <c r="B140" s="46" t="s">
        <v>1128</v>
      </c>
      <c r="C140" s="46" t="s">
        <v>507</v>
      </c>
      <c r="D140" s="46" t="s">
        <v>56</v>
      </c>
      <c r="E140" s="46" t="str">
        <f>IFERROR(VLOOKUP(TRIM(D140), Collection!$B$2:$D$1001, 2, FALSE), "")</f>
        <v>Overseas dual time Blue</v>
      </c>
      <c r="F140" s="49" t="str">
        <f>IFERROR(VLOOKUP(TRIM(D140), Collection!$B$2:$D$1001, 3, FALSE), "")</f>
        <v>117,000 AED</v>
      </c>
      <c r="G140" s="49">
        <f t="shared" si="4"/>
        <v>117000</v>
      </c>
      <c r="H140" s="46" t="s">
        <v>192</v>
      </c>
      <c r="I140" s="46">
        <v>103647896</v>
      </c>
      <c r="J140" s="46" t="s">
        <v>193</v>
      </c>
      <c r="K140" s="46" t="s">
        <v>201</v>
      </c>
      <c r="L140" s="46" t="s">
        <v>1128</v>
      </c>
      <c r="M140" s="46" t="b">
        <f t="shared" si="5"/>
        <v>0</v>
      </c>
    </row>
    <row r="141" spans="1:13" ht="31.2" x14ac:dyDescent="0.3">
      <c r="A141" s="46" t="s">
        <v>189</v>
      </c>
      <c r="B141" s="46" t="s">
        <v>1128</v>
      </c>
      <c r="C141" s="46" t="s">
        <v>507</v>
      </c>
      <c r="D141" s="46" t="s">
        <v>200</v>
      </c>
      <c r="E141" s="46" t="str">
        <f>IFERROR(VLOOKUP(TRIM(D141), Collection!$B$2:$D$1001, 2, FALSE), "")</f>
        <v>Historiques 222</v>
      </c>
      <c r="F141" s="49" t="str">
        <f>IFERROR(VLOOKUP(TRIM(D141), Collection!$B$2:$D$1001, 3, FALSE), "")</f>
        <v>121,000 AED</v>
      </c>
      <c r="G141" s="49">
        <f t="shared" si="4"/>
        <v>121000</v>
      </c>
      <c r="H141" s="46" t="s">
        <v>192</v>
      </c>
      <c r="I141" s="46">
        <v>103671258</v>
      </c>
      <c r="J141" s="46" t="s">
        <v>193</v>
      </c>
      <c r="K141" s="46" t="s">
        <v>201</v>
      </c>
      <c r="L141" s="46" t="s">
        <v>1128</v>
      </c>
      <c r="M141" s="46" t="b">
        <f t="shared" si="5"/>
        <v>0</v>
      </c>
    </row>
    <row r="142" spans="1:13" ht="31.2" x14ac:dyDescent="0.3">
      <c r="A142" s="46" t="s">
        <v>189</v>
      </c>
      <c r="B142" s="46" t="s">
        <v>1128</v>
      </c>
      <c r="C142" s="46" t="s">
        <v>513</v>
      </c>
      <c r="D142" s="46" t="s">
        <v>111</v>
      </c>
      <c r="E142" s="46" t="str">
        <f>IFERROR(VLOOKUP(TRIM(D142), Collection!$B$2:$D$1001, 2, FALSE), "")</f>
        <v>Overseas dual time Silver</v>
      </c>
      <c r="F142" s="49" t="str">
        <f>IFERROR(VLOOKUP(TRIM(D142), Collection!$B$2:$D$1001, 3, FALSE), "")</f>
        <v>117,000 AED</v>
      </c>
      <c r="G142" s="49">
        <f t="shared" si="4"/>
        <v>117000</v>
      </c>
      <c r="H142" s="46" t="s">
        <v>192</v>
      </c>
      <c r="I142" s="46">
        <v>102442135</v>
      </c>
      <c r="J142" s="46" t="s">
        <v>193</v>
      </c>
      <c r="K142" s="46" t="s">
        <v>201</v>
      </c>
      <c r="L142" s="46" t="s">
        <v>1128</v>
      </c>
      <c r="M142" s="46" t="b">
        <f t="shared" si="5"/>
        <v>0</v>
      </c>
    </row>
    <row r="143" spans="1:13" ht="31.2" x14ac:dyDescent="0.3">
      <c r="A143" s="46" t="s">
        <v>189</v>
      </c>
      <c r="B143" s="46" t="s">
        <v>1128</v>
      </c>
      <c r="C143" s="46" t="s">
        <v>513</v>
      </c>
      <c r="D143" s="46" t="s">
        <v>200</v>
      </c>
      <c r="E143" s="46" t="str">
        <f>IFERROR(VLOOKUP(TRIM(D143), Collection!$B$2:$D$1001, 2, FALSE), "")</f>
        <v>Historiques 222</v>
      </c>
      <c r="F143" s="49" t="str">
        <f>IFERROR(VLOOKUP(TRIM(D143), Collection!$B$2:$D$1001, 3, FALSE), "")</f>
        <v>121,000 AED</v>
      </c>
      <c r="G143" s="49">
        <f t="shared" si="4"/>
        <v>121000</v>
      </c>
      <c r="H143" s="46" t="s">
        <v>192</v>
      </c>
      <c r="I143" s="46">
        <v>103670555</v>
      </c>
      <c r="J143" s="46" t="s">
        <v>193</v>
      </c>
      <c r="K143" s="46" t="s">
        <v>194</v>
      </c>
      <c r="L143" s="46" t="s">
        <v>1128</v>
      </c>
      <c r="M143" s="46" t="b">
        <f t="shared" si="5"/>
        <v>0</v>
      </c>
    </row>
    <row r="144" spans="1:13" ht="31.2" x14ac:dyDescent="0.3">
      <c r="A144" s="46" t="s">
        <v>189</v>
      </c>
      <c r="B144" s="46" t="s">
        <v>1128</v>
      </c>
      <c r="C144" s="46" t="s">
        <v>513</v>
      </c>
      <c r="D144" s="46" t="s">
        <v>200</v>
      </c>
      <c r="E144" s="46" t="str">
        <f>IFERROR(VLOOKUP(TRIM(D144), Collection!$B$2:$D$1001, 2, FALSE), "")</f>
        <v>Historiques 222</v>
      </c>
      <c r="F144" s="49" t="str">
        <f>IFERROR(VLOOKUP(TRIM(D144), Collection!$B$2:$D$1001, 3, FALSE), "")</f>
        <v>121,000 AED</v>
      </c>
      <c r="G144" s="49">
        <f t="shared" si="4"/>
        <v>121000</v>
      </c>
      <c r="H144" s="46" t="s">
        <v>192</v>
      </c>
      <c r="I144" s="46">
        <v>103834361</v>
      </c>
      <c r="J144" s="46" t="s">
        <v>193</v>
      </c>
      <c r="K144" s="46" t="s">
        <v>194</v>
      </c>
      <c r="L144" s="46" t="s">
        <v>1128</v>
      </c>
      <c r="M144" s="46" t="b">
        <f t="shared" si="5"/>
        <v>0</v>
      </c>
    </row>
    <row r="145" spans="1:13" ht="31.2" x14ac:dyDescent="0.3">
      <c r="A145" s="46" t="s">
        <v>189</v>
      </c>
      <c r="B145" s="46" t="s">
        <v>1128</v>
      </c>
      <c r="C145" s="46" t="s">
        <v>517</v>
      </c>
      <c r="D145" s="46" t="s">
        <v>200</v>
      </c>
      <c r="E145" s="46" t="str">
        <f>IFERROR(VLOOKUP(TRIM(D145), Collection!$B$2:$D$1001, 2, FALSE), "")</f>
        <v>Historiques 222</v>
      </c>
      <c r="F145" s="49" t="str">
        <f>IFERROR(VLOOKUP(TRIM(D145), Collection!$B$2:$D$1001, 3, FALSE), "")</f>
        <v>121,000 AED</v>
      </c>
      <c r="G145" s="49">
        <f t="shared" si="4"/>
        <v>121000</v>
      </c>
      <c r="H145" s="46" t="s">
        <v>192</v>
      </c>
      <c r="I145" s="46">
        <v>103648743</v>
      </c>
      <c r="J145" s="46" t="s">
        <v>193</v>
      </c>
      <c r="K145" s="46" t="s">
        <v>201</v>
      </c>
      <c r="L145" s="46" t="s">
        <v>1128</v>
      </c>
      <c r="M145" s="46" t="b">
        <f t="shared" si="5"/>
        <v>0</v>
      </c>
    </row>
    <row r="146" spans="1:13" ht="31.2" x14ac:dyDescent="0.3">
      <c r="A146" s="46" t="s">
        <v>189</v>
      </c>
      <c r="B146" s="46" t="s">
        <v>1128</v>
      </c>
      <c r="C146" s="46" t="s">
        <v>517</v>
      </c>
      <c r="D146" s="46" t="s">
        <v>200</v>
      </c>
      <c r="E146" s="46" t="str">
        <f>IFERROR(VLOOKUP(TRIM(D146), Collection!$B$2:$D$1001, 2, FALSE), "")</f>
        <v>Historiques 222</v>
      </c>
      <c r="F146" s="49" t="str">
        <f>IFERROR(VLOOKUP(TRIM(D146), Collection!$B$2:$D$1001, 3, FALSE), "")</f>
        <v>121,000 AED</v>
      </c>
      <c r="G146" s="49">
        <f t="shared" si="4"/>
        <v>121000</v>
      </c>
      <c r="H146" s="46" t="s">
        <v>192</v>
      </c>
      <c r="I146" s="46">
        <v>103775089</v>
      </c>
      <c r="J146" s="46" t="s">
        <v>193</v>
      </c>
      <c r="K146" s="46" t="s">
        <v>194</v>
      </c>
      <c r="L146" s="46" t="s">
        <v>1128</v>
      </c>
      <c r="M146" s="46" t="b">
        <f t="shared" si="5"/>
        <v>0</v>
      </c>
    </row>
    <row r="147" spans="1:13" ht="31.2" x14ac:dyDescent="0.3">
      <c r="A147" s="46" t="s">
        <v>189</v>
      </c>
      <c r="B147" s="46" t="s">
        <v>1128</v>
      </c>
      <c r="C147" s="46" t="s">
        <v>517</v>
      </c>
      <c r="D147" s="46" t="s">
        <v>200</v>
      </c>
      <c r="E147" s="46" t="str">
        <f>IFERROR(VLOOKUP(TRIM(D147), Collection!$B$2:$D$1001, 2, FALSE), "")</f>
        <v>Historiques 222</v>
      </c>
      <c r="F147" s="49" t="str">
        <f>IFERROR(VLOOKUP(TRIM(D147), Collection!$B$2:$D$1001, 3, FALSE), "")</f>
        <v>121,000 AED</v>
      </c>
      <c r="G147" s="49">
        <f t="shared" si="4"/>
        <v>121000</v>
      </c>
      <c r="H147" s="46" t="s">
        <v>192</v>
      </c>
      <c r="I147" s="46">
        <v>103756750</v>
      </c>
      <c r="J147" s="46" t="s">
        <v>193</v>
      </c>
      <c r="K147" s="46" t="s">
        <v>204</v>
      </c>
      <c r="L147" s="46" t="s">
        <v>1207</v>
      </c>
      <c r="M147" s="46" t="b">
        <f t="shared" si="5"/>
        <v>0</v>
      </c>
    </row>
    <row r="148" spans="1:13" ht="31.2" x14ac:dyDescent="0.3">
      <c r="A148" s="46" t="s">
        <v>189</v>
      </c>
      <c r="B148" s="46" t="s">
        <v>1128</v>
      </c>
      <c r="C148" s="46" t="s">
        <v>517</v>
      </c>
      <c r="D148" s="46" t="s">
        <v>200</v>
      </c>
      <c r="E148" s="46" t="str">
        <f>IFERROR(VLOOKUP(TRIM(D148), Collection!$B$2:$D$1001, 2, FALSE), "")</f>
        <v>Historiques 222</v>
      </c>
      <c r="F148" s="49" t="str">
        <f>IFERROR(VLOOKUP(TRIM(D148), Collection!$B$2:$D$1001, 3, FALSE), "")</f>
        <v>121,000 AED</v>
      </c>
      <c r="G148" s="49">
        <f t="shared" si="4"/>
        <v>121000</v>
      </c>
      <c r="H148" s="46" t="s">
        <v>192</v>
      </c>
      <c r="I148" s="46">
        <v>103784220</v>
      </c>
      <c r="J148" s="46" t="s">
        <v>193</v>
      </c>
      <c r="K148" s="46" t="s">
        <v>204</v>
      </c>
      <c r="L148" s="46" t="s">
        <v>1208</v>
      </c>
      <c r="M148" s="46" t="b">
        <f t="shared" si="5"/>
        <v>0</v>
      </c>
    </row>
    <row r="149" spans="1:13" ht="31.2" x14ac:dyDescent="0.3">
      <c r="A149" s="46" t="s">
        <v>189</v>
      </c>
      <c r="B149" s="46" t="s">
        <v>1128</v>
      </c>
      <c r="C149" s="46" t="s">
        <v>524</v>
      </c>
      <c r="D149" s="46" t="s">
        <v>56</v>
      </c>
      <c r="E149" s="46" t="str">
        <f>IFERROR(VLOOKUP(TRIM(D149), Collection!$B$2:$D$1001, 2, FALSE), "")</f>
        <v>Overseas dual time Blue</v>
      </c>
      <c r="F149" s="49" t="str">
        <f>IFERROR(VLOOKUP(TRIM(D149), Collection!$B$2:$D$1001, 3, FALSE), "")</f>
        <v>117,000 AED</v>
      </c>
      <c r="G149" s="49">
        <f t="shared" si="4"/>
        <v>117000</v>
      </c>
      <c r="H149" s="46" t="s">
        <v>192</v>
      </c>
      <c r="I149" s="46">
        <v>103744983</v>
      </c>
      <c r="J149" s="46" t="s">
        <v>193</v>
      </c>
      <c r="K149" s="46" t="s">
        <v>194</v>
      </c>
      <c r="L149" s="46" t="s">
        <v>1128</v>
      </c>
      <c r="M149" s="46" t="b">
        <f t="shared" si="5"/>
        <v>0</v>
      </c>
    </row>
    <row r="150" spans="1:13" ht="31.2" x14ac:dyDescent="0.3">
      <c r="A150" s="46" t="s">
        <v>189</v>
      </c>
      <c r="B150" s="46" t="s">
        <v>1128</v>
      </c>
      <c r="C150" s="46" t="s">
        <v>526</v>
      </c>
      <c r="D150" s="46" t="s">
        <v>200</v>
      </c>
      <c r="E150" s="46" t="str">
        <f>IFERROR(VLOOKUP(TRIM(D150), Collection!$B$2:$D$1001, 2, FALSE), "")</f>
        <v>Historiques 222</v>
      </c>
      <c r="F150" s="49" t="str">
        <f>IFERROR(VLOOKUP(TRIM(D150), Collection!$B$2:$D$1001, 3, FALSE), "")</f>
        <v>121,000 AED</v>
      </c>
      <c r="G150" s="49">
        <f t="shared" si="4"/>
        <v>121000</v>
      </c>
      <c r="H150" s="46" t="s">
        <v>192</v>
      </c>
      <c r="I150" s="46">
        <v>103633388</v>
      </c>
      <c r="J150" s="46" t="s">
        <v>193</v>
      </c>
      <c r="K150" s="46" t="s">
        <v>201</v>
      </c>
      <c r="L150" s="46" t="s">
        <v>1128</v>
      </c>
      <c r="M150" s="46" t="b">
        <f t="shared" si="5"/>
        <v>0</v>
      </c>
    </row>
    <row r="151" spans="1:13" ht="31.2" x14ac:dyDescent="0.3">
      <c r="A151" s="46" t="s">
        <v>189</v>
      </c>
      <c r="B151" s="46" t="s">
        <v>1128</v>
      </c>
      <c r="C151" s="46" t="s">
        <v>526</v>
      </c>
      <c r="D151" s="46" t="s">
        <v>200</v>
      </c>
      <c r="E151" s="46" t="str">
        <f>IFERROR(VLOOKUP(TRIM(D151), Collection!$B$2:$D$1001, 2, FALSE), "")</f>
        <v>Historiques 222</v>
      </c>
      <c r="F151" s="49" t="str">
        <f>IFERROR(VLOOKUP(TRIM(D151), Collection!$B$2:$D$1001, 3, FALSE), "")</f>
        <v>121,000 AED</v>
      </c>
      <c r="G151" s="49">
        <f t="shared" si="4"/>
        <v>121000</v>
      </c>
      <c r="H151" s="46" t="s">
        <v>192</v>
      </c>
      <c r="I151" s="46">
        <v>103721541</v>
      </c>
      <c r="J151" s="46" t="s">
        <v>193</v>
      </c>
      <c r="K151" s="46" t="s">
        <v>204</v>
      </c>
      <c r="L151" s="46" t="s">
        <v>1209</v>
      </c>
      <c r="M151" s="46" t="b">
        <f t="shared" si="5"/>
        <v>0</v>
      </c>
    </row>
    <row r="152" spans="1:13" ht="62.4" x14ac:dyDescent="0.3">
      <c r="A152" s="46" t="s">
        <v>189</v>
      </c>
      <c r="B152" s="46" t="s">
        <v>1128</v>
      </c>
      <c r="C152" s="46" t="s">
        <v>526</v>
      </c>
      <c r="D152" s="46" t="s">
        <v>80</v>
      </c>
      <c r="E152" s="46" t="str">
        <f>IFERROR(VLOOKUP(TRIM(D152), Collection!$B$2:$D$1001, 2, FALSE), "")</f>
        <v>Historiques 222</v>
      </c>
      <c r="F152" s="49" t="str">
        <f>IFERROR(VLOOKUP(TRIM(D152), Collection!$B$2:$D$1001, 3, FALSE), "")</f>
        <v>279,000 AED</v>
      </c>
      <c r="G152" s="49">
        <f t="shared" si="4"/>
        <v>279000</v>
      </c>
      <c r="H152" s="46" t="s">
        <v>192</v>
      </c>
      <c r="I152" s="46">
        <v>103729472</v>
      </c>
      <c r="J152" s="46" t="s">
        <v>193</v>
      </c>
      <c r="K152" s="46" t="s">
        <v>194</v>
      </c>
      <c r="L152" s="46" t="s">
        <v>1210</v>
      </c>
      <c r="M152" s="46" t="b">
        <f t="shared" si="5"/>
        <v>1</v>
      </c>
    </row>
    <row r="153" spans="1:13" ht="31.2" x14ac:dyDescent="0.3">
      <c r="A153" s="46" t="s">
        <v>189</v>
      </c>
      <c r="B153" s="46" t="s">
        <v>1128</v>
      </c>
      <c r="C153" s="46" t="s">
        <v>526</v>
      </c>
      <c r="D153" s="46" t="s">
        <v>200</v>
      </c>
      <c r="E153" s="46" t="str">
        <f>IFERROR(VLOOKUP(TRIM(D153), Collection!$B$2:$D$1001, 2, FALSE), "")</f>
        <v>Historiques 222</v>
      </c>
      <c r="F153" s="49" t="str">
        <f>IFERROR(VLOOKUP(TRIM(D153), Collection!$B$2:$D$1001, 3, FALSE), "")</f>
        <v>121,000 AED</v>
      </c>
      <c r="G153" s="49">
        <f t="shared" si="4"/>
        <v>121000</v>
      </c>
      <c r="H153" s="46" t="s">
        <v>192</v>
      </c>
      <c r="I153" s="46">
        <v>103719727</v>
      </c>
      <c r="J153" s="46" t="s">
        <v>193</v>
      </c>
      <c r="K153" s="46" t="s">
        <v>204</v>
      </c>
      <c r="L153" s="46" t="s">
        <v>1211</v>
      </c>
      <c r="M153" s="46" t="b">
        <f t="shared" si="5"/>
        <v>0</v>
      </c>
    </row>
    <row r="154" spans="1:13" ht="31.2" x14ac:dyDescent="0.3">
      <c r="A154" s="46" t="s">
        <v>189</v>
      </c>
      <c r="B154" s="46" t="s">
        <v>1128</v>
      </c>
      <c r="C154" s="46" t="s">
        <v>534</v>
      </c>
      <c r="D154" s="46" t="s">
        <v>200</v>
      </c>
      <c r="E154" s="46" t="str">
        <f>IFERROR(VLOOKUP(TRIM(D154), Collection!$B$2:$D$1001, 2, FALSE), "")</f>
        <v>Historiques 222</v>
      </c>
      <c r="F154" s="49" t="str">
        <f>IFERROR(VLOOKUP(TRIM(D154), Collection!$B$2:$D$1001, 3, FALSE), "")</f>
        <v>121,000 AED</v>
      </c>
      <c r="G154" s="49">
        <f t="shared" si="4"/>
        <v>121000</v>
      </c>
      <c r="H154" s="46" t="s">
        <v>192</v>
      </c>
      <c r="I154" s="46">
        <v>92406537</v>
      </c>
      <c r="J154" s="46" t="s">
        <v>193</v>
      </c>
      <c r="K154" s="46" t="s">
        <v>201</v>
      </c>
      <c r="L154" s="46" t="s">
        <v>1128</v>
      </c>
      <c r="M154" s="46" t="b">
        <f t="shared" si="5"/>
        <v>0</v>
      </c>
    </row>
    <row r="155" spans="1:13" ht="62.4" x14ac:dyDescent="0.3">
      <c r="A155" s="46" t="s">
        <v>189</v>
      </c>
      <c r="B155" s="46" t="s">
        <v>1128</v>
      </c>
      <c r="C155" s="46" t="s">
        <v>534</v>
      </c>
      <c r="D155" s="46" t="s">
        <v>137</v>
      </c>
      <c r="E155" s="46" t="str">
        <f>IFERROR(VLOOKUP(TRIM(D155), Collection!$B$2:$D$1001, 2, FALSE), "")</f>
        <v>Historiques American 1921 - Arabic</v>
      </c>
      <c r="F155" s="49" t="str">
        <f>IFERROR(VLOOKUP(TRIM(D155), Collection!$B$2:$D$1001, 3, FALSE), "")</f>
        <v>192,000 AED</v>
      </c>
      <c r="G155" s="49">
        <f t="shared" si="4"/>
        <v>192000</v>
      </c>
      <c r="H155" s="46" t="s">
        <v>192</v>
      </c>
      <c r="I155" s="46">
        <v>103531883</v>
      </c>
      <c r="J155" s="46" t="s">
        <v>248</v>
      </c>
      <c r="K155" s="46" t="s">
        <v>194</v>
      </c>
      <c r="L155" s="46" t="s">
        <v>1212</v>
      </c>
      <c r="M155" s="46" t="b">
        <f t="shared" si="5"/>
        <v>0</v>
      </c>
    </row>
    <row r="156" spans="1:13" ht="31.2" x14ac:dyDescent="0.3">
      <c r="A156" s="46" t="s">
        <v>189</v>
      </c>
      <c r="B156" s="46" t="s">
        <v>1128</v>
      </c>
      <c r="C156" s="46" t="s">
        <v>534</v>
      </c>
      <c r="D156" s="46" t="s">
        <v>200</v>
      </c>
      <c r="E156" s="46" t="str">
        <f>IFERROR(VLOOKUP(TRIM(D156), Collection!$B$2:$D$1001, 2, FALSE), "")</f>
        <v>Historiques 222</v>
      </c>
      <c r="F156" s="49" t="str">
        <f>IFERROR(VLOOKUP(TRIM(D156), Collection!$B$2:$D$1001, 3, FALSE), "")</f>
        <v>121,000 AED</v>
      </c>
      <c r="G156" s="49">
        <f t="shared" si="4"/>
        <v>121000</v>
      </c>
      <c r="H156" s="46" t="s">
        <v>192</v>
      </c>
      <c r="I156" s="46">
        <v>100511411</v>
      </c>
      <c r="J156" s="46" t="s">
        <v>193</v>
      </c>
      <c r="K156" s="46" t="s">
        <v>201</v>
      </c>
      <c r="L156" s="46" t="s">
        <v>1128</v>
      </c>
      <c r="M156" s="46" t="b">
        <f t="shared" si="5"/>
        <v>0</v>
      </c>
    </row>
    <row r="157" spans="1:13" ht="31.2" x14ac:dyDescent="0.3">
      <c r="A157" s="46" t="s">
        <v>189</v>
      </c>
      <c r="B157" s="46" t="s">
        <v>1128</v>
      </c>
      <c r="C157" s="46" t="s">
        <v>534</v>
      </c>
      <c r="D157" s="46" t="s">
        <v>200</v>
      </c>
      <c r="E157" s="46" t="str">
        <f>IFERROR(VLOOKUP(TRIM(D157), Collection!$B$2:$D$1001, 2, FALSE), "")</f>
        <v>Historiques 222</v>
      </c>
      <c r="F157" s="49" t="str">
        <f>IFERROR(VLOOKUP(TRIM(D157), Collection!$B$2:$D$1001, 3, FALSE), "")</f>
        <v>121,000 AED</v>
      </c>
      <c r="G157" s="49">
        <f t="shared" si="4"/>
        <v>121000</v>
      </c>
      <c r="H157" s="46" t="s">
        <v>192</v>
      </c>
      <c r="I157" s="46">
        <v>92399706</v>
      </c>
      <c r="J157" s="46" t="s">
        <v>193</v>
      </c>
      <c r="K157" s="46" t="s">
        <v>204</v>
      </c>
      <c r="L157" s="46" t="s">
        <v>1213</v>
      </c>
      <c r="M157" s="46" t="b">
        <f t="shared" si="5"/>
        <v>0</v>
      </c>
    </row>
    <row r="158" spans="1:13" ht="31.2" x14ac:dyDescent="0.3">
      <c r="A158" s="46" t="s">
        <v>189</v>
      </c>
      <c r="B158" s="46" t="s">
        <v>1128</v>
      </c>
      <c r="C158" s="46" t="s">
        <v>534</v>
      </c>
      <c r="D158" s="46" t="s">
        <v>200</v>
      </c>
      <c r="E158" s="46" t="str">
        <f>IFERROR(VLOOKUP(TRIM(D158), Collection!$B$2:$D$1001, 2, FALSE), "")</f>
        <v>Historiques 222</v>
      </c>
      <c r="F158" s="49" t="str">
        <f>IFERROR(VLOOKUP(TRIM(D158), Collection!$B$2:$D$1001, 3, FALSE), "")</f>
        <v>121,000 AED</v>
      </c>
      <c r="G158" s="49">
        <f t="shared" si="4"/>
        <v>121000</v>
      </c>
      <c r="H158" s="46" t="s">
        <v>192</v>
      </c>
      <c r="I158" s="46">
        <v>103714062</v>
      </c>
      <c r="J158" s="46" t="s">
        <v>193</v>
      </c>
      <c r="K158" s="46" t="s">
        <v>204</v>
      </c>
      <c r="L158" s="46" t="s">
        <v>1214</v>
      </c>
      <c r="M158" s="46" t="b">
        <f t="shared" si="5"/>
        <v>0</v>
      </c>
    </row>
    <row r="159" spans="1:13" ht="31.2" x14ac:dyDescent="0.3">
      <c r="A159" s="46" t="s">
        <v>189</v>
      </c>
      <c r="B159" s="46" t="s">
        <v>1128</v>
      </c>
      <c r="C159" s="46" t="s">
        <v>543</v>
      </c>
      <c r="D159" s="46" t="s">
        <v>200</v>
      </c>
      <c r="E159" s="46" t="str">
        <f>IFERROR(VLOOKUP(TRIM(D159), Collection!$B$2:$D$1001, 2, FALSE), "")</f>
        <v>Historiques 222</v>
      </c>
      <c r="F159" s="49" t="str">
        <f>IFERROR(VLOOKUP(TRIM(D159), Collection!$B$2:$D$1001, 3, FALSE), "")</f>
        <v>121,000 AED</v>
      </c>
      <c r="G159" s="49">
        <f t="shared" si="4"/>
        <v>121000</v>
      </c>
      <c r="H159" s="46" t="s">
        <v>192</v>
      </c>
      <c r="I159" s="46">
        <v>92408008</v>
      </c>
      <c r="J159" s="46" t="s">
        <v>193</v>
      </c>
      <c r="K159" s="46" t="s">
        <v>194</v>
      </c>
      <c r="L159" s="46" t="s">
        <v>1128</v>
      </c>
      <c r="M159" s="46" t="b">
        <f t="shared" si="5"/>
        <v>0</v>
      </c>
    </row>
    <row r="160" spans="1:13" ht="31.2" x14ac:dyDescent="0.3">
      <c r="A160" s="46" t="s">
        <v>189</v>
      </c>
      <c r="B160" s="46" t="s">
        <v>1128</v>
      </c>
      <c r="C160" s="46" t="s">
        <v>543</v>
      </c>
      <c r="D160" s="46" t="s">
        <v>200</v>
      </c>
      <c r="E160" s="46" t="str">
        <f>IFERROR(VLOOKUP(TRIM(D160), Collection!$B$2:$D$1001, 2, FALSE), "")</f>
        <v>Historiques 222</v>
      </c>
      <c r="F160" s="49" t="str">
        <f>IFERROR(VLOOKUP(TRIM(D160), Collection!$B$2:$D$1001, 3, FALSE), "")</f>
        <v>121,000 AED</v>
      </c>
      <c r="G160" s="49">
        <f t="shared" si="4"/>
        <v>121000</v>
      </c>
      <c r="H160" s="46" t="s">
        <v>192</v>
      </c>
      <c r="I160" s="46">
        <v>103713756</v>
      </c>
      <c r="J160" s="46" t="s">
        <v>193</v>
      </c>
      <c r="K160" s="46" t="s">
        <v>194</v>
      </c>
      <c r="L160" s="46" t="s">
        <v>1128</v>
      </c>
      <c r="M160" s="46" t="b">
        <f t="shared" si="5"/>
        <v>0</v>
      </c>
    </row>
    <row r="161" spans="1:13" ht="31.2" x14ac:dyDescent="0.3">
      <c r="A161" s="46" t="s">
        <v>189</v>
      </c>
      <c r="B161" s="46" t="s">
        <v>1128</v>
      </c>
      <c r="C161" s="46" t="s">
        <v>543</v>
      </c>
      <c r="D161" s="46" t="s">
        <v>200</v>
      </c>
      <c r="E161" s="46" t="str">
        <f>IFERROR(VLOOKUP(TRIM(D161), Collection!$B$2:$D$1001, 2, FALSE), "")</f>
        <v>Historiques 222</v>
      </c>
      <c r="F161" s="49" t="str">
        <f>IFERROR(VLOOKUP(TRIM(D161), Collection!$B$2:$D$1001, 3, FALSE), "")</f>
        <v>121,000 AED</v>
      </c>
      <c r="G161" s="49">
        <f t="shared" si="4"/>
        <v>121000</v>
      </c>
      <c r="H161" s="46" t="s">
        <v>192</v>
      </c>
      <c r="I161" s="46">
        <v>103742903</v>
      </c>
      <c r="J161" s="46" t="s">
        <v>193</v>
      </c>
      <c r="K161" s="46" t="s">
        <v>194</v>
      </c>
      <c r="L161" s="46" t="s">
        <v>1215</v>
      </c>
      <c r="M161" s="46" t="b">
        <f t="shared" si="5"/>
        <v>0</v>
      </c>
    </row>
    <row r="162" spans="1:13" ht="31.2" x14ac:dyDescent="0.3">
      <c r="A162" s="46" t="s">
        <v>189</v>
      </c>
      <c r="B162" s="46" t="s">
        <v>1128</v>
      </c>
      <c r="C162" s="46" t="s">
        <v>548</v>
      </c>
      <c r="D162" s="46" t="s">
        <v>200</v>
      </c>
      <c r="E162" s="46" t="str">
        <f>IFERROR(VLOOKUP(TRIM(D162), Collection!$B$2:$D$1001, 2, FALSE), "")</f>
        <v>Historiques 222</v>
      </c>
      <c r="F162" s="49" t="str">
        <f>IFERROR(VLOOKUP(TRIM(D162), Collection!$B$2:$D$1001, 3, FALSE), "")</f>
        <v>121,000 AED</v>
      </c>
      <c r="G162" s="49">
        <f t="shared" si="4"/>
        <v>121000</v>
      </c>
      <c r="H162" s="46" t="s">
        <v>192</v>
      </c>
      <c r="I162" s="46">
        <v>103671342</v>
      </c>
      <c r="J162" s="46" t="s">
        <v>193</v>
      </c>
      <c r="K162" s="46" t="s">
        <v>201</v>
      </c>
      <c r="L162" s="46" t="s">
        <v>1128</v>
      </c>
      <c r="M162" s="46" t="b">
        <f t="shared" si="5"/>
        <v>0</v>
      </c>
    </row>
    <row r="163" spans="1:13" ht="31.2" x14ac:dyDescent="0.3">
      <c r="A163" s="46" t="s">
        <v>189</v>
      </c>
      <c r="B163" s="46" t="s">
        <v>1128</v>
      </c>
      <c r="C163" s="46" t="s">
        <v>548</v>
      </c>
      <c r="D163" s="46" t="s">
        <v>200</v>
      </c>
      <c r="E163" s="46" t="str">
        <f>IFERROR(VLOOKUP(TRIM(D163), Collection!$B$2:$D$1001, 2, FALSE), "")</f>
        <v>Historiques 222</v>
      </c>
      <c r="F163" s="49" t="str">
        <f>IFERROR(VLOOKUP(TRIM(D163), Collection!$B$2:$D$1001, 3, FALSE), "")</f>
        <v>121,000 AED</v>
      </c>
      <c r="G163" s="49">
        <f t="shared" si="4"/>
        <v>121000</v>
      </c>
      <c r="H163" s="46" t="s">
        <v>192</v>
      </c>
      <c r="I163" s="46">
        <v>103661537</v>
      </c>
      <c r="J163" s="46" t="s">
        <v>193</v>
      </c>
      <c r="K163" s="46" t="s">
        <v>204</v>
      </c>
      <c r="L163" s="46" t="s">
        <v>1216</v>
      </c>
      <c r="M163" s="46" t="b">
        <f t="shared" si="5"/>
        <v>0</v>
      </c>
    </row>
    <row r="164" spans="1:13" ht="31.2" x14ac:dyDescent="0.3">
      <c r="A164" s="46" t="s">
        <v>189</v>
      </c>
      <c r="B164" s="46" t="s">
        <v>1128</v>
      </c>
      <c r="C164" s="46" t="s">
        <v>548</v>
      </c>
      <c r="D164" s="46" t="s">
        <v>200</v>
      </c>
      <c r="E164" s="46" t="str">
        <f>IFERROR(VLOOKUP(TRIM(D164), Collection!$B$2:$D$1001, 2, FALSE), "")</f>
        <v>Historiques 222</v>
      </c>
      <c r="F164" s="49" t="str">
        <f>IFERROR(VLOOKUP(TRIM(D164), Collection!$B$2:$D$1001, 3, FALSE), "")</f>
        <v>121,000 AED</v>
      </c>
      <c r="G164" s="49">
        <f t="shared" si="4"/>
        <v>121000</v>
      </c>
      <c r="H164" s="46" t="s">
        <v>192</v>
      </c>
      <c r="I164" s="46">
        <v>98874827</v>
      </c>
      <c r="J164" s="46" t="s">
        <v>193</v>
      </c>
      <c r="K164" s="46" t="s">
        <v>194</v>
      </c>
      <c r="L164" s="46" t="s">
        <v>1128</v>
      </c>
      <c r="M164" s="46" t="b">
        <f t="shared" si="5"/>
        <v>0</v>
      </c>
    </row>
    <row r="165" spans="1:13" ht="31.2" x14ac:dyDescent="0.3">
      <c r="A165" s="46" t="s">
        <v>189</v>
      </c>
      <c r="B165" s="46" t="s">
        <v>1128</v>
      </c>
      <c r="C165" s="46" t="s">
        <v>548</v>
      </c>
      <c r="D165" s="46" t="s">
        <v>200</v>
      </c>
      <c r="E165" s="46" t="str">
        <f>IFERROR(VLOOKUP(TRIM(D165), Collection!$B$2:$D$1001, 2, FALSE), "")</f>
        <v>Historiques 222</v>
      </c>
      <c r="F165" s="49" t="str">
        <f>IFERROR(VLOOKUP(TRIM(D165), Collection!$B$2:$D$1001, 3, FALSE), "")</f>
        <v>121,000 AED</v>
      </c>
      <c r="G165" s="49">
        <f t="shared" si="4"/>
        <v>121000</v>
      </c>
      <c r="H165" s="46" t="s">
        <v>192</v>
      </c>
      <c r="I165" s="46">
        <v>92408008</v>
      </c>
      <c r="J165" s="46" t="s">
        <v>193</v>
      </c>
      <c r="K165" s="46" t="s">
        <v>194</v>
      </c>
      <c r="L165" s="46" t="s">
        <v>1128</v>
      </c>
      <c r="M165" s="46" t="b">
        <f t="shared" si="5"/>
        <v>0</v>
      </c>
    </row>
    <row r="166" spans="1:13" ht="31.2" x14ac:dyDescent="0.3">
      <c r="A166" s="46" t="s">
        <v>189</v>
      </c>
      <c r="B166" s="46" t="s">
        <v>1128</v>
      </c>
      <c r="C166" s="46" t="s">
        <v>548</v>
      </c>
      <c r="D166" s="46" t="s">
        <v>200</v>
      </c>
      <c r="E166" s="46" t="str">
        <f>IFERROR(VLOOKUP(TRIM(D166), Collection!$B$2:$D$1001, 2, FALSE), "")</f>
        <v>Historiques 222</v>
      </c>
      <c r="F166" s="49" t="str">
        <f>IFERROR(VLOOKUP(TRIM(D166), Collection!$B$2:$D$1001, 3, FALSE), "")</f>
        <v>121,000 AED</v>
      </c>
      <c r="G166" s="49">
        <f t="shared" si="4"/>
        <v>121000</v>
      </c>
      <c r="H166" s="46" t="s">
        <v>192</v>
      </c>
      <c r="I166" s="46">
        <v>103675481</v>
      </c>
      <c r="J166" s="46" t="s">
        <v>193</v>
      </c>
      <c r="K166" s="46" t="s">
        <v>194</v>
      </c>
      <c r="L166" s="46" t="s">
        <v>1217</v>
      </c>
      <c r="M166" s="46" t="b">
        <f t="shared" si="5"/>
        <v>0</v>
      </c>
    </row>
    <row r="167" spans="1:13" ht="31.2" x14ac:dyDescent="0.3">
      <c r="A167" s="46" t="s">
        <v>189</v>
      </c>
      <c r="B167" s="46" t="s">
        <v>1128</v>
      </c>
      <c r="C167" s="46" t="s">
        <v>548</v>
      </c>
      <c r="D167" s="46" t="s">
        <v>120</v>
      </c>
      <c r="E167" s="46" t="str">
        <f>IFERROR(VLOOKUP(TRIM(D167), Collection!$B$2:$D$1001, 2, FALSE), "")</f>
        <v>Overseas self-winding</v>
      </c>
      <c r="F167" s="49" t="str">
        <f>IFERROR(VLOOKUP(TRIM(D167), Collection!$B$2:$D$1001, 3, FALSE), "")</f>
        <v>94,500 AED</v>
      </c>
      <c r="G167" s="49">
        <f t="shared" si="4"/>
        <v>94500</v>
      </c>
      <c r="H167" s="46" t="s">
        <v>192</v>
      </c>
      <c r="I167" s="46">
        <v>100330605</v>
      </c>
      <c r="J167" s="46" t="s">
        <v>193</v>
      </c>
      <c r="K167" s="46" t="s">
        <v>201</v>
      </c>
      <c r="L167" s="46" t="s">
        <v>1128</v>
      </c>
      <c r="M167" s="46" t="b">
        <f t="shared" si="5"/>
        <v>0</v>
      </c>
    </row>
    <row r="168" spans="1:13" ht="31.2" x14ac:dyDescent="0.3">
      <c r="A168" s="46" t="s">
        <v>189</v>
      </c>
      <c r="B168" s="46" t="s">
        <v>1128</v>
      </c>
      <c r="C168" s="46" t="s">
        <v>548</v>
      </c>
      <c r="D168" s="46" t="s">
        <v>200</v>
      </c>
      <c r="E168" s="46" t="str">
        <f>IFERROR(VLOOKUP(TRIM(D168), Collection!$B$2:$D$1001, 2, FALSE), "")</f>
        <v>Historiques 222</v>
      </c>
      <c r="F168" s="49" t="str">
        <f>IFERROR(VLOOKUP(TRIM(D168), Collection!$B$2:$D$1001, 3, FALSE), "")</f>
        <v>121,000 AED</v>
      </c>
      <c r="G168" s="49">
        <f t="shared" si="4"/>
        <v>121000</v>
      </c>
      <c r="H168" s="46" t="s">
        <v>192</v>
      </c>
      <c r="I168" s="46">
        <v>92428108</v>
      </c>
      <c r="J168" s="46" t="s">
        <v>248</v>
      </c>
      <c r="K168" s="46" t="s">
        <v>194</v>
      </c>
      <c r="L168" s="46" t="s">
        <v>1128</v>
      </c>
      <c r="M168" s="46" t="b">
        <f t="shared" si="5"/>
        <v>0</v>
      </c>
    </row>
    <row r="169" spans="1:13" ht="31.2" x14ac:dyDescent="0.3">
      <c r="A169" s="46" t="s">
        <v>189</v>
      </c>
      <c r="B169" s="46" t="s">
        <v>1128</v>
      </c>
      <c r="C169" s="46" t="s">
        <v>548</v>
      </c>
      <c r="D169" s="46" t="s">
        <v>200</v>
      </c>
      <c r="E169" s="46" t="str">
        <f>IFERROR(VLOOKUP(TRIM(D169), Collection!$B$2:$D$1001, 2, FALSE), "")</f>
        <v>Historiques 222</v>
      </c>
      <c r="F169" s="49" t="str">
        <f>IFERROR(VLOOKUP(TRIM(D169), Collection!$B$2:$D$1001, 3, FALSE), "")</f>
        <v>121,000 AED</v>
      </c>
      <c r="G169" s="49">
        <f t="shared" si="4"/>
        <v>121000</v>
      </c>
      <c r="H169" s="46" t="s">
        <v>192</v>
      </c>
      <c r="I169" s="46">
        <v>100330605</v>
      </c>
      <c r="J169" s="46" t="s">
        <v>193</v>
      </c>
      <c r="K169" s="46" t="s">
        <v>201</v>
      </c>
      <c r="L169" s="46" t="s">
        <v>1128</v>
      </c>
      <c r="M169" s="46" t="b">
        <f t="shared" si="5"/>
        <v>0</v>
      </c>
    </row>
    <row r="170" spans="1:13" ht="31.2" x14ac:dyDescent="0.3">
      <c r="A170" s="46" t="s">
        <v>189</v>
      </c>
      <c r="B170" s="46" t="s">
        <v>1128</v>
      </c>
      <c r="C170" s="46" t="s">
        <v>548</v>
      </c>
      <c r="D170" s="46" t="s">
        <v>241</v>
      </c>
      <c r="E170" s="46" t="str">
        <f>IFERROR(VLOOKUP(TRIM(D170), Collection!$B$2:$D$1001, 2, FALSE), "")</f>
        <v>Overseas chronograph</v>
      </c>
      <c r="F170" s="49" t="str">
        <f>IFERROR(VLOOKUP(TRIM(D170), Collection!$B$2:$D$1001, 3, FALSE), "")</f>
        <v>135,000 AED</v>
      </c>
      <c r="G170" s="49">
        <f t="shared" si="4"/>
        <v>135000</v>
      </c>
      <c r="H170" s="46" t="s">
        <v>192</v>
      </c>
      <c r="I170" s="46">
        <v>100330605</v>
      </c>
      <c r="J170" s="46" t="s">
        <v>193</v>
      </c>
      <c r="K170" s="46" t="s">
        <v>201</v>
      </c>
      <c r="L170" s="46" t="s">
        <v>1128</v>
      </c>
      <c r="M170" s="46" t="b">
        <f t="shared" si="5"/>
        <v>0</v>
      </c>
    </row>
    <row r="171" spans="1:13" ht="31.2" x14ac:dyDescent="0.3">
      <c r="A171" s="46" t="s">
        <v>189</v>
      </c>
      <c r="B171" s="46" t="s">
        <v>1128</v>
      </c>
      <c r="C171" s="46" t="s">
        <v>548</v>
      </c>
      <c r="D171" s="46" t="s">
        <v>200</v>
      </c>
      <c r="E171" s="46" t="str">
        <f>IFERROR(VLOOKUP(TRIM(D171), Collection!$B$2:$D$1001, 2, FALSE), "")</f>
        <v>Historiques 222</v>
      </c>
      <c r="F171" s="49" t="str">
        <f>IFERROR(VLOOKUP(TRIM(D171), Collection!$B$2:$D$1001, 3, FALSE), "")</f>
        <v>121,000 AED</v>
      </c>
      <c r="G171" s="49">
        <f t="shared" si="4"/>
        <v>121000</v>
      </c>
      <c r="H171" s="46" t="s">
        <v>192</v>
      </c>
      <c r="I171" s="46">
        <v>92403555</v>
      </c>
      <c r="J171" s="46" t="s">
        <v>193</v>
      </c>
      <c r="K171" s="46" t="s">
        <v>194</v>
      </c>
      <c r="L171" s="46" t="s">
        <v>1128</v>
      </c>
      <c r="M171" s="46" t="b">
        <f t="shared" si="5"/>
        <v>0</v>
      </c>
    </row>
    <row r="172" spans="1:13" ht="31.2" x14ac:dyDescent="0.3">
      <c r="A172" s="46" t="s">
        <v>189</v>
      </c>
      <c r="B172" s="46" t="s">
        <v>1128</v>
      </c>
      <c r="C172" s="46" t="s">
        <v>548</v>
      </c>
      <c r="D172" s="46" t="s">
        <v>200</v>
      </c>
      <c r="E172" s="46" t="str">
        <f>IFERROR(VLOOKUP(TRIM(D172), Collection!$B$2:$D$1001, 2, FALSE), "")</f>
        <v>Historiques 222</v>
      </c>
      <c r="F172" s="49" t="str">
        <f>IFERROR(VLOOKUP(TRIM(D172), Collection!$B$2:$D$1001, 3, FALSE), "")</f>
        <v>121,000 AED</v>
      </c>
      <c r="G172" s="49">
        <f t="shared" si="4"/>
        <v>121000</v>
      </c>
      <c r="H172" s="46" t="s">
        <v>192</v>
      </c>
      <c r="I172" s="46">
        <v>103673092</v>
      </c>
      <c r="J172" s="46" t="s">
        <v>193</v>
      </c>
      <c r="K172" s="46" t="s">
        <v>194</v>
      </c>
      <c r="L172" s="46" t="s">
        <v>1128</v>
      </c>
      <c r="M172" s="46" t="b">
        <f t="shared" si="5"/>
        <v>0</v>
      </c>
    </row>
    <row r="173" spans="1:13" ht="31.2" x14ac:dyDescent="0.3">
      <c r="A173" s="46" t="s">
        <v>189</v>
      </c>
      <c r="B173" s="46" t="s">
        <v>1128</v>
      </c>
      <c r="C173" s="46" t="s">
        <v>548</v>
      </c>
      <c r="D173" s="46" t="s">
        <v>200</v>
      </c>
      <c r="E173" s="46" t="str">
        <f>IFERROR(VLOOKUP(TRIM(D173), Collection!$B$2:$D$1001, 2, FALSE), "")</f>
        <v>Historiques 222</v>
      </c>
      <c r="F173" s="49" t="str">
        <f>IFERROR(VLOOKUP(TRIM(D173), Collection!$B$2:$D$1001, 3, FALSE), "")</f>
        <v>121,000 AED</v>
      </c>
      <c r="G173" s="49">
        <f t="shared" si="4"/>
        <v>121000</v>
      </c>
      <c r="H173" s="46" t="s">
        <v>192</v>
      </c>
      <c r="I173" s="46">
        <v>98874827</v>
      </c>
      <c r="J173" s="46" t="s">
        <v>193</v>
      </c>
      <c r="K173" s="46" t="s">
        <v>194</v>
      </c>
      <c r="L173" s="46" t="s">
        <v>1128</v>
      </c>
      <c r="M173" s="46" t="b">
        <f t="shared" si="5"/>
        <v>0</v>
      </c>
    </row>
    <row r="174" spans="1:13" ht="31.2" x14ac:dyDescent="0.3">
      <c r="A174" s="46" t="s">
        <v>189</v>
      </c>
      <c r="B174" s="46" t="s">
        <v>1128</v>
      </c>
      <c r="C174" s="46" t="s">
        <v>548</v>
      </c>
      <c r="D174" s="46" t="s">
        <v>200</v>
      </c>
      <c r="E174" s="46" t="str">
        <f>IFERROR(VLOOKUP(TRIM(D174), Collection!$B$2:$D$1001, 2, FALSE), "")</f>
        <v>Historiques 222</v>
      </c>
      <c r="F174" s="49" t="str">
        <f>IFERROR(VLOOKUP(TRIM(D174), Collection!$B$2:$D$1001, 3, FALSE), "")</f>
        <v>121,000 AED</v>
      </c>
      <c r="G174" s="49">
        <f t="shared" si="4"/>
        <v>121000</v>
      </c>
      <c r="H174" s="46" t="s">
        <v>192</v>
      </c>
      <c r="I174" s="46">
        <v>103671613</v>
      </c>
      <c r="J174" s="46" t="s">
        <v>193</v>
      </c>
      <c r="K174" s="46" t="s">
        <v>194</v>
      </c>
      <c r="L174" s="46" t="s">
        <v>1128</v>
      </c>
      <c r="M174" s="46" t="b">
        <f t="shared" si="5"/>
        <v>0</v>
      </c>
    </row>
    <row r="175" spans="1:13" ht="31.2" x14ac:dyDescent="0.3">
      <c r="A175" s="46" t="s">
        <v>189</v>
      </c>
      <c r="B175" s="46" t="s">
        <v>1128</v>
      </c>
      <c r="C175" s="46" t="s">
        <v>548</v>
      </c>
      <c r="D175" s="46" t="s">
        <v>200</v>
      </c>
      <c r="E175" s="46" t="str">
        <f>IFERROR(VLOOKUP(TRIM(D175), Collection!$B$2:$D$1001, 2, FALSE), "")</f>
        <v>Historiques 222</v>
      </c>
      <c r="F175" s="49" t="str">
        <f>IFERROR(VLOOKUP(TRIM(D175), Collection!$B$2:$D$1001, 3, FALSE), "")</f>
        <v>121,000 AED</v>
      </c>
      <c r="G175" s="49">
        <f t="shared" si="4"/>
        <v>121000</v>
      </c>
      <c r="H175" s="46" t="s">
        <v>192</v>
      </c>
      <c r="I175" s="46">
        <v>92406996</v>
      </c>
      <c r="J175" s="46" t="s">
        <v>193</v>
      </c>
      <c r="K175" s="46" t="s">
        <v>194</v>
      </c>
      <c r="L175" s="46" t="s">
        <v>1128</v>
      </c>
      <c r="M175" s="46" t="b">
        <f t="shared" si="5"/>
        <v>0</v>
      </c>
    </row>
    <row r="176" spans="1:13" ht="31.2" x14ac:dyDescent="0.3">
      <c r="A176" s="46" t="s">
        <v>189</v>
      </c>
      <c r="B176" s="46" t="s">
        <v>1128</v>
      </c>
      <c r="C176" s="46" t="s">
        <v>548</v>
      </c>
      <c r="D176" s="46" t="s">
        <v>200</v>
      </c>
      <c r="E176" s="46" t="str">
        <f>IFERROR(VLOOKUP(TRIM(D176), Collection!$B$2:$D$1001, 2, FALSE), "")</f>
        <v>Historiques 222</v>
      </c>
      <c r="F176" s="49" t="str">
        <f>IFERROR(VLOOKUP(TRIM(D176), Collection!$B$2:$D$1001, 3, FALSE), "")</f>
        <v>121,000 AED</v>
      </c>
      <c r="G176" s="49">
        <f t="shared" si="4"/>
        <v>121000</v>
      </c>
      <c r="H176" s="46" t="s">
        <v>192</v>
      </c>
      <c r="I176" s="46">
        <v>103673291</v>
      </c>
      <c r="J176" s="46" t="s">
        <v>193</v>
      </c>
      <c r="K176" s="46" t="s">
        <v>194</v>
      </c>
      <c r="L176" s="46" t="s">
        <v>1128</v>
      </c>
      <c r="M176" s="46" t="b">
        <f t="shared" si="5"/>
        <v>0</v>
      </c>
    </row>
    <row r="177" spans="1:13" ht="31.2" x14ac:dyDescent="0.3">
      <c r="A177" s="46" t="s">
        <v>189</v>
      </c>
      <c r="B177" s="46" t="s">
        <v>1128</v>
      </c>
      <c r="C177" s="46" t="s">
        <v>548</v>
      </c>
      <c r="D177" s="46" t="s">
        <v>200</v>
      </c>
      <c r="E177" s="46" t="str">
        <f>IFERROR(VLOOKUP(TRIM(D177), Collection!$B$2:$D$1001, 2, FALSE), "")</f>
        <v>Historiques 222</v>
      </c>
      <c r="F177" s="49" t="str">
        <f>IFERROR(VLOOKUP(TRIM(D177), Collection!$B$2:$D$1001, 3, FALSE), "")</f>
        <v>121,000 AED</v>
      </c>
      <c r="G177" s="49">
        <f t="shared" si="4"/>
        <v>121000</v>
      </c>
      <c r="H177" s="46" t="s">
        <v>192</v>
      </c>
      <c r="I177" s="46">
        <v>103645978</v>
      </c>
      <c r="J177" s="46" t="s">
        <v>193</v>
      </c>
      <c r="K177" s="46" t="s">
        <v>201</v>
      </c>
      <c r="L177" s="46" t="s">
        <v>1128</v>
      </c>
      <c r="M177" s="46" t="b">
        <f t="shared" si="5"/>
        <v>0</v>
      </c>
    </row>
    <row r="178" spans="1:13" ht="31.2" x14ac:dyDescent="0.3">
      <c r="A178" s="46" t="s">
        <v>264</v>
      </c>
      <c r="B178" s="46" t="s">
        <v>264</v>
      </c>
      <c r="C178" s="46" t="s">
        <v>561</v>
      </c>
      <c r="D178" s="46" t="s">
        <v>200</v>
      </c>
      <c r="E178" s="46" t="str">
        <f>IFERROR(VLOOKUP(TRIM(D178), Collection!$B$2:$D$1001, 2, FALSE), "")</f>
        <v>Historiques 222</v>
      </c>
      <c r="F178" s="49" t="str">
        <f>IFERROR(VLOOKUP(TRIM(D178), Collection!$B$2:$D$1001, 3, FALSE), "")</f>
        <v>121,000 AED</v>
      </c>
      <c r="G178" s="49">
        <f t="shared" si="4"/>
        <v>121000</v>
      </c>
      <c r="H178" s="46" t="s">
        <v>192</v>
      </c>
      <c r="I178" s="46">
        <v>103633978</v>
      </c>
      <c r="J178" s="46" t="s">
        <v>193</v>
      </c>
      <c r="K178" s="46" t="s">
        <v>201</v>
      </c>
      <c r="L178" s="46" t="s">
        <v>1128</v>
      </c>
      <c r="M178" s="46" t="b">
        <f t="shared" si="5"/>
        <v>0</v>
      </c>
    </row>
    <row r="179" spans="1:13" ht="31.2" x14ac:dyDescent="0.3">
      <c r="A179" s="46" t="s">
        <v>189</v>
      </c>
      <c r="B179" s="46" t="s">
        <v>1128</v>
      </c>
      <c r="C179" s="46" t="s">
        <v>561</v>
      </c>
      <c r="D179" s="46" t="s">
        <v>200</v>
      </c>
      <c r="E179" s="46" t="str">
        <f>IFERROR(VLOOKUP(TRIM(D179), Collection!$B$2:$D$1001, 2, FALSE), "")</f>
        <v>Historiques 222</v>
      </c>
      <c r="F179" s="49" t="str">
        <f>IFERROR(VLOOKUP(TRIM(D179), Collection!$B$2:$D$1001, 3, FALSE), "")</f>
        <v>121,000 AED</v>
      </c>
      <c r="G179" s="49">
        <f t="shared" si="4"/>
        <v>121000</v>
      </c>
      <c r="H179" s="46" t="s">
        <v>192</v>
      </c>
      <c r="I179" s="46">
        <v>92398060</v>
      </c>
      <c r="J179" s="46" t="s">
        <v>193</v>
      </c>
      <c r="K179" s="46" t="s">
        <v>201</v>
      </c>
      <c r="L179" s="46" t="s">
        <v>1128</v>
      </c>
      <c r="M179" s="46" t="b">
        <f t="shared" si="5"/>
        <v>0</v>
      </c>
    </row>
    <row r="180" spans="1:13" ht="31.2" x14ac:dyDescent="0.3">
      <c r="A180" s="46" t="s">
        <v>189</v>
      </c>
      <c r="B180" s="46" t="s">
        <v>1128</v>
      </c>
      <c r="C180" s="46" t="s">
        <v>561</v>
      </c>
      <c r="D180" s="46" t="s">
        <v>200</v>
      </c>
      <c r="E180" s="46" t="str">
        <f>IFERROR(VLOOKUP(TRIM(D180), Collection!$B$2:$D$1001, 2, FALSE), "")</f>
        <v>Historiques 222</v>
      </c>
      <c r="F180" s="49" t="str">
        <f>IFERROR(VLOOKUP(TRIM(D180), Collection!$B$2:$D$1001, 3, FALSE), "")</f>
        <v>121,000 AED</v>
      </c>
      <c r="G180" s="49">
        <f t="shared" si="4"/>
        <v>121000</v>
      </c>
      <c r="H180" s="46" t="s">
        <v>192</v>
      </c>
      <c r="I180" s="46">
        <v>93597721</v>
      </c>
      <c r="J180" s="46" t="s">
        <v>193</v>
      </c>
      <c r="K180" s="46" t="s">
        <v>201</v>
      </c>
      <c r="L180" s="46" t="s">
        <v>1128</v>
      </c>
      <c r="M180" s="46" t="b">
        <f t="shared" si="5"/>
        <v>0</v>
      </c>
    </row>
    <row r="181" spans="1:13" ht="31.2" x14ac:dyDescent="0.3">
      <c r="A181" s="46" t="s">
        <v>189</v>
      </c>
      <c r="B181" s="46" t="s">
        <v>1128</v>
      </c>
      <c r="C181" s="46" t="s">
        <v>561</v>
      </c>
      <c r="D181" s="46" t="s">
        <v>120</v>
      </c>
      <c r="E181" s="46" t="str">
        <f>IFERROR(VLOOKUP(TRIM(D181), Collection!$B$2:$D$1001, 2, FALSE), "")</f>
        <v>Overseas self-winding</v>
      </c>
      <c r="F181" s="49" t="str">
        <f>IFERROR(VLOOKUP(TRIM(D181), Collection!$B$2:$D$1001, 3, FALSE), "")</f>
        <v>94,500 AED</v>
      </c>
      <c r="G181" s="49">
        <f t="shared" si="4"/>
        <v>94500</v>
      </c>
      <c r="H181" s="46" t="s">
        <v>192</v>
      </c>
      <c r="I181" s="46">
        <v>103647896</v>
      </c>
      <c r="J181" s="46" t="s">
        <v>193</v>
      </c>
      <c r="K181" s="46" t="s">
        <v>201</v>
      </c>
      <c r="L181" s="46" t="s">
        <v>1128</v>
      </c>
      <c r="M181" s="46" t="b">
        <f t="shared" si="5"/>
        <v>0</v>
      </c>
    </row>
    <row r="182" spans="1:13" ht="31.2" x14ac:dyDescent="0.3">
      <c r="A182" s="46" t="s">
        <v>189</v>
      </c>
      <c r="B182" s="46" t="s">
        <v>1128</v>
      </c>
      <c r="C182" s="46" t="s">
        <v>561</v>
      </c>
      <c r="D182" s="46" t="s">
        <v>200</v>
      </c>
      <c r="E182" s="46" t="str">
        <f>IFERROR(VLOOKUP(TRIM(D182), Collection!$B$2:$D$1001, 2, FALSE), "")</f>
        <v>Historiques 222</v>
      </c>
      <c r="F182" s="49" t="str">
        <f>IFERROR(VLOOKUP(TRIM(D182), Collection!$B$2:$D$1001, 3, FALSE), "")</f>
        <v>121,000 AED</v>
      </c>
      <c r="G182" s="49">
        <f t="shared" si="4"/>
        <v>121000</v>
      </c>
      <c r="H182" s="46" t="s">
        <v>192</v>
      </c>
      <c r="I182" s="46">
        <v>103656438</v>
      </c>
      <c r="J182" s="46" t="s">
        <v>193</v>
      </c>
      <c r="K182" s="46" t="s">
        <v>201</v>
      </c>
      <c r="L182" s="46" t="s">
        <v>1128</v>
      </c>
      <c r="M182" s="46" t="b">
        <f t="shared" si="5"/>
        <v>0</v>
      </c>
    </row>
    <row r="183" spans="1:13" ht="31.2" x14ac:dyDescent="0.3">
      <c r="A183" s="46" t="s">
        <v>189</v>
      </c>
      <c r="B183" s="46" t="s">
        <v>1128</v>
      </c>
      <c r="C183" s="46" t="s">
        <v>561</v>
      </c>
      <c r="D183" s="46" t="s">
        <v>200</v>
      </c>
      <c r="E183" s="46" t="str">
        <f>IFERROR(VLOOKUP(TRIM(D183), Collection!$B$2:$D$1001, 2, FALSE), "")</f>
        <v>Historiques 222</v>
      </c>
      <c r="F183" s="49" t="str">
        <f>IFERROR(VLOOKUP(TRIM(D183), Collection!$B$2:$D$1001, 3, FALSE), "")</f>
        <v>121,000 AED</v>
      </c>
      <c r="G183" s="49">
        <f t="shared" si="4"/>
        <v>121000</v>
      </c>
      <c r="H183" s="46" t="s">
        <v>192</v>
      </c>
      <c r="I183" s="46">
        <v>103642399</v>
      </c>
      <c r="J183" s="46" t="s">
        <v>193</v>
      </c>
      <c r="K183" s="46" t="s">
        <v>204</v>
      </c>
      <c r="L183" s="46" t="s">
        <v>1218</v>
      </c>
      <c r="M183" s="46" t="b">
        <f t="shared" si="5"/>
        <v>0</v>
      </c>
    </row>
    <row r="184" spans="1:13" ht="31.2" x14ac:dyDescent="0.3">
      <c r="A184" s="46" t="s">
        <v>189</v>
      </c>
      <c r="B184" s="46" t="s">
        <v>1128</v>
      </c>
      <c r="C184" s="46" t="s">
        <v>561</v>
      </c>
      <c r="D184" s="46" t="s">
        <v>200</v>
      </c>
      <c r="E184" s="46" t="str">
        <f>IFERROR(VLOOKUP(TRIM(D184), Collection!$B$2:$D$1001, 2, FALSE), "")</f>
        <v>Historiques 222</v>
      </c>
      <c r="F184" s="49" t="str">
        <f>IFERROR(VLOOKUP(TRIM(D184), Collection!$B$2:$D$1001, 3, FALSE), "")</f>
        <v>121,000 AED</v>
      </c>
      <c r="G184" s="49">
        <f t="shared" si="4"/>
        <v>121000</v>
      </c>
      <c r="H184" s="46" t="s">
        <v>192</v>
      </c>
      <c r="I184" s="46">
        <v>103646927</v>
      </c>
      <c r="J184" s="46" t="s">
        <v>193</v>
      </c>
      <c r="K184" s="46" t="s">
        <v>204</v>
      </c>
      <c r="L184" s="46" t="s">
        <v>1219</v>
      </c>
      <c r="M184" s="46" t="b">
        <f t="shared" si="5"/>
        <v>0</v>
      </c>
    </row>
    <row r="185" spans="1:13" ht="31.2" x14ac:dyDescent="0.3">
      <c r="A185" s="46" t="s">
        <v>189</v>
      </c>
      <c r="B185" s="46" t="s">
        <v>1128</v>
      </c>
      <c r="C185" s="46" t="s">
        <v>561</v>
      </c>
      <c r="D185" s="46" t="s">
        <v>200</v>
      </c>
      <c r="E185" s="46" t="str">
        <f>IFERROR(VLOOKUP(TRIM(D185), Collection!$B$2:$D$1001, 2, FALSE), "")</f>
        <v>Historiques 222</v>
      </c>
      <c r="F185" s="49" t="str">
        <f>IFERROR(VLOOKUP(TRIM(D185), Collection!$B$2:$D$1001, 3, FALSE), "")</f>
        <v>121,000 AED</v>
      </c>
      <c r="G185" s="49">
        <f t="shared" si="4"/>
        <v>121000</v>
      </c>
      <c r="H185" s="46" t="s">
        <v>192</v>
      </c>
      <c r="I185" s="46">
        <v>103642513</v>
      </c>
      <c r="J185" s="46" t="s">
        <v>193</v>
      </c>
      <c r="K185" s="46" t="s">
        <v>204</v>
      </c>
      <c r="L185" s="46" t="s">
        <v>1220</v>
      </c>
      <c r="M185" s="46" t="b">
        <f t="shared" si="5"/>
        <v>0</v>
      </c>
    </row>
    <row r="186" spans="1:13" ht="31.2" x14ac:dyDescent="0.3">
      <c r="A186" s="46" t="s">
        <v>189</v>
      </c>
      <c r="B186" s="46" t="s">
        <v>1128</v>
      </c>
      <c r="C186" s="46" t="s">
        <v>561</v>
      </c>
      <c r="D186" s="46" t="s">
        <v>200</v>
      </c>
      <c r="E186" s="46" t="str">
        <f>IFERROR(VLOOKUP(TRIM(D186), Collection!$B$2:$D$1001, 2, FALSE), "")</f>
        <v>Historiques 222</v>
      </c>
      <c r="F186" s="49" t="str">
        <f>IFERROR(VLOOKUP(TRIM(D186), Collection!$B$2:$D$1001, 3, FALSE), "")</f>
        <v>121,000 AED</v>
      </c>
      <c r="G186" s="49">
        <f t="shared" si="4"/>
        <v>121000</v>
      </c>
      <c r="H186" s="46" t="s">
        <v>192</v>
      </c>
      <c r="I186" s="46">
        <v>91001822</v>
      </c>
      <c r="J186" s="46" t="s">
        <v>193</v>
      </c>
      <c r="K186" s="46" t="s">
        <v>204</v>
      </c>
      <c r="L186" s="46" t="s">
        <v>1221</v>
      </c>
      <c r="M186" s="46" t="b">
        <f t="shared" si="5"/>
        <v>0</v>
      </c>
    </row>
    <row r="187" spans="1:13" ht="31.2" x14ac:dyDescent="0.3">
      <c r="A187" s="46" t="s">
        <v>189</v>
      </c>
      <c r="B187" s="46" t="s">
        <v>1128</v>
      </c>
      <c r="C187" s="46" t="s">
        <v>561</v>
      </c>
      <c r="D187" s="46" t="s">
        <v>200</v>
      </c>
      <c r="E187" s="46" t="str">
        <f>IFERROR(VLOOKUP(TRIM(D187), Collection!$B$2:$D$1001, 2, FALSE), "")</f>
        <v>Historiques 222</v>
      </c>
      <c r="F187" s="49" t="str">
        <f>IFERROR(VLOOKUP(TRIM(D187), Collection!$B$2:$D$1001, 3, FALSE), "")</f>
        <v>121,000 AED</v>
      </c>
      <c r="G187" s="49">
        <f t="shared" si="4"/>
        <v>121000</v>
      </c>
      <c r="H187" s="46" t="s">
        <v>192</v>
      </c>
      <c r="I187" s="46">
        <v>92399337</v>
      </c>
      <c r="J187" s="46" t="s">
        <v>193</v>
      </c>
      <c r="K187" s="46" t="s">
        <v>204</v>
      </c>
      <c r="L187" s="46" t="s">
        <v>1222</v>
      </c>
      <c r="M187" s="46" t="b">
        <f t="shared" si="5"/>
        <v>0</v>
      </c>
    </row>
    <row r="188" spans="1:13" ht="31.2" x14ac:dyDescent="0.3">
      <c r="A188" s="46" t="s">
        <v>189</v>
      </c>
      <c r="B188" s="46" t="s">
        <v>1128</v>
      </c>
      <c r="C188" s="46" t="s">
        <v>561</v>
      </c>
      <c r="D188" s="46" t="s">
        <v>200</v>
      </c>
      <c r="E188" s="46" t="str">
        <f>IFERROR(VLOOKUP(TRIM(D188), Collection!$B$2:$D$1001, 2, FALSE), "")</f>
        <v>Historiques 222</v>
      </c>
      <c r="F188" s="49" t="str">
        <f>IFERROR(VLOOKUP(TRIM(D188), Collection!$B$2:$D$1001, 3, FALSE), "")</f>
        <v>121,000 AED</v>
      </c>
      <c r="G188" s="49">
        <f t="shared" si="4"/>
        <v>121000</v>
      </c>
      <c r="H188" s="46" t="s">
        <v>192</v>
      </c>
      <c r="I188" s="46">
        <v>103657666</v>
      </c>
      <c r="J188" s="46" t="s">
        <v>193</v>
      </c>
      <c r="K188" s="46" t="s">
        <v>204</v>
      </c>
      <c r="L188" s="46" t="s">
        <v>1223</v>
      </c>
      <c r="M188" s="46" t="b">
        <f t="shared" si="5"/>
        <v>0</v>
      </c>
    </row>
    <row r="189" spans="1:13" ht="46.8" x14ac:dyDescent="0.3">
      <c r="A189" s="46" t="s">
        <v>189</v>
      </c>
      <c r="B189" s="46" t="s">
        <v>1128</v>
      </c>
      <c r="C189" s="46" t="s">
        <v>561</v>
      </c>
      <c r="D189" s="46" t="s">
        <v>137</v>
      </c>
      <c r="E189" s="46" t="str">
        <f>IFERROR(VLOOKUP(TRIM(D189), Collection!$B$2:$D$1001, 2, FALSE), "")</f>
        <v>Historiques American 1921 - Arabic</v>
      </c>
      <c r="F189" s="49" t="str">
        <f>IFERROR(VLOOKUP(TRIM(D189), Collection!$B$2:$D$1001, 3, FALSE), "")</f>
        <v>192,000 AED</v>
      </c>
      <c r="G189" s="49">
        <f t="shared" si="4"/>
        <v>192000</v>
      </c>
      <c r="H189" s="46" t="s">
        <v>192</v>
      </c>
      <c r="I189" s="46">
        <v>103660737</v>
      </c>
      <c r="J189" s="46" t="s">
        <v>193</v>
      </c>
      <c r="K189" s="46" t="s">
        <v>201</v>
      </c>
      <c r="L189" s="46" t="s">
        <v>1128</v>
      </c>
      <c r="M189" s="46" t="b">
        <f t="shared" si="5"/>
        <v>0</v>
      </c>
    </row>
    <row r="190" spans="1:13" ht="31.2" x14ac:dyDescent="0.3">
      <c r="A190" s="46" t="s">
        <v>189</v>
      </c>
      <c r="B190" s="46" t="s">
        <v>1128</v>
      </c>
      <c r="C190" s="46" t="s">
        <v>561</v>
      </c>
      <c r="D190" s="46" t="s">
        <v>200</v>
      </c>
      <c r="E190" s="46" t="str">
        <f>IFERROR(VLOOKUP(TRIM(D190), Collection!$B$2:$D$1001, 2, FALSE), "")</f>
        <v>Historiques 222</v>
      </c>
      <c r="F190" s="49" t="str">
        <f>IFERROR(VLOOKUP(TRIM(D190), Collection!$B$2:$D$1001, 3, FALSE), "")</f>
        <v>121,000 AED</v>
      </c>
      <c r="G190" s="49">
        <f t="shared" si="4"/>
        <v>121000</v>
      </c>
      <c r="H190" s="46" t="s">
        <v>192</v>
      </c>
      <c r="I190" s="46">
        <v>103660737</v>
      </c>
      <c r="J190" s="46" t="s">
        <v>193</v>
      </c>
      <c r="K190" s="46" t="s">
        <v>201</v>
      </c>
      <c r="L190" s="46" t="s">
        <v>1128</v>
      </c>
      <c r="M190" s="46" t="b">
        <f t="shared" si="5"/>
        <v>0</v>
      </c>
    </row>
    <row r="191" spans="1:13" ht="31.2" x14ac:dyDescent="0.3">
      <c r="A191" s="46" t="s">
        <v>189</v>
      </c>
      <c r="B191" s="46" t="s">
        <v>1128</v>
      </c>
      <c r="C191" s="46" t="s">
        <v>561</v>
      </c>
      <c r="D191" s="46" t="s">
        <v>200</v>
      </c>
      <c r="E191" s="46" t="str">
        <f>IFERROR(VLOOKUP(TRIM(D191), Collection!$B$2:$D$1001, 2, FALSE), "")</f>
        <v>Historiques 222</v>
      </c>
      <c r="F191" s="49" t="str">
        <f>IFERROR(VLOOKUP(TRIM(D191), Collection!$B$2:$D$1001, 3, FALSE), "")</f>
        <v>121,000 AED</v>
      </c>
      <c r="G191" s="49">
        <f t="shared" si="4"/>
        <v>121000</v>
      </c>
      <c r="H191" s="46" t="s">
        <v>192</v>
      </c>
      <c r="I191" s="46">
        <v>103648068</v>
      </c>
      <c r="J191" s="46" t="s">
        <v>193</v>
      </c>
      <c r="K191" s="46" t="s">
        <v>201</v>
      </c>
      <c r="L191" s="46" t="s">
        <v>1128</v>
      </c>
      <c r="M191" s="46" t="b">
        <f t="shared" si="5"/>
        <v>0</v>
      </c>
    </row>
    <row r="192" spans="1:13" ht="31.2" x14ac:dyDescent="0.3">
      <c r="A192" s="46" t="s">
        <v>189</v>
      </c>
      <c r="B192" s="46" t="s">
        <v>1128</v>
      </c>
      <c r="C192" s="46" t="s">
        <v>561</v>
      </c>
      <c r="D192" s="46" t="s">
        <v>200</v>
      </c>
      <c r="E192" s="46" t="str">
        <f>IFERROR(VLOOKUP(TRIM(D192), Collection!$B$2:$D$1001, 2, FALSE), "")</f>
        <v>Historiques 222</v>
      </c>
      <c r="F192" s="49" t="str">
        <f>IFERROR(VLOOKUP(TRIM(D192), Collection!$B$2:$D$1001, 3, FALSE), "")</f>
        <v>121,000 AED</v>
      </c>
      <c r="G192" s="49">
        <f t="shared" si="4"/>
        <v>121000</v>
      </c>
      <c r="H192" s="46" t="s">
        <v>192</v>
      </c>
      <c r="I192" s="46">
        <v>103631693</v>
      </c>
      <c r="J192" s="46" t="s">
        <v>193</v>
      </c>
      <c r="K192" s="46" t="s">
        <v>201</v>
      </c>
      <c r="L192" s="46" t="s">
        <v>1128</v>
      </c>
      <c r="M192" s="46" t="b">
        <f t="shared" si="5"/>
        <v>0</v>
      </c>
    </row>
    <row r="193" spans="1:13" ht="31.2" x14ac:dyDescent="0.3">
      <c r="A193" s="46" t="s">
        <v>189</v>
      </c>
      <c r="B193" s="46" t="s">
        <v>1128</v>
      </c>
      <c r="C193" s="46" t="s">
        <v>561</v>
      </c>
      <c r="D193" s="46" t="s">
        <v>200</v>
      </c>
      <c r="E193" s="46" t="str">
        <f>IFERROR(VLOOKUP(TRIM(D193), Collection!$B$2:$D$1001, 2, FALSE), "")</f>
        <v>Historiques 222</v>
      </c>
      <c r="F193" s="49" t="str">
        <f>IFERROR(VLOOKUP(TRIM(D193), Collection!$B$2:$D$1001, 3, FALSE), "")</f>
        <v>121,000 AED</v>
      </c>
      <c r="G193" s="49">
        <f t="shared" si="4"/>
        <v>121000</v>
      </c>
      <c r="H193" s="46" t="s">
        <v>192</v>
      </c>
      <c r="I193" s="46">
        <v>103616253</v>
      </c>
      <c r="J193" s="46" t="s">
        <v>193</v>
      </c>
      <c r="K193" s="46" t="s">
        <v>194</v>
      </c>
      <c r="L193" s="46" t="s">
        <v>1128</v>
      </c>
      <c r="M193" s="46" t="b">
        <f t="shared" si="5"/>
        <v>0</v>
      </c>
    </row>
    <row r="194" spans="1:13" ht="31.2" x14ac:dyDescent="0.3">
      <c r="A194" s="46" t="s">
        <v>189</v>
      </c>
      <c r="B194" s="46" t="s">
        <v>1128</v>
      </c>
      <c r="C194" s="46" t="s">
        <v>561</v>
      </c>
      <c r="D194" s="46" t="s">
        <v>200</v>
      </c>
      <c r="E194" s="46" t="str">
        <f>IFERROR(VLOOKUP(TRIM(D194), Collection!$B$2:$D$1001, 2, FALSE), "")</f>
        <v>Historiques 222</v>
      </c>
      <c r="F194" s="49" t="str">
        <f>IFERROR(VLOOKUP(TRIM(D194), Collection!$B$2:$D$1001, 3, FALSE), "")</f>
        <v>121,000 AED</v>
      </c>
      <c r="G194" s="49">
        <f t="shared" ref="G194:G257" si="6">IFERROR(VALUE(SUBSTITUTE(SUBSTITUTE(F194, "Price", ""), "AED", "")), "")</f>
        <v>121000</v>
      </c>
      <c r="H194" s="46" t="s">
        <v>192</v>
      </c>
      <c r="I194" s="46">
        <v>92404856</v>
      </c>
      <c r="J194" s="46" t="s">
        <v>193</v>
      </c>
      <c r="K194" s="46" t="s">
        <v>194</v>
      </c>
      <c r="L194" s="46" t="s">
        <v>1128</v>
      </c>
      <c r="M194" s="46" t="b">
        <f t="shared" ref="M194:M257" si="7">IF(COUNTIF($R$3:$R$100, D194) &gt; 0, TRUE, FALSE)</f>
        <v>0</v>
      </c>
    </row>
    <row r="195" spans="1:13" ht="31.2" x14ac:dyDescent="0.3">
      <c r="A195" s="46" t="s">
        <v>189</v>
      </c>
      <c r="B195" s="46" t="s">
        <v>1128</v>
      </c>
      <c r="C195" s="46" t="s">
        <v>561</v>
      </c>
      <c r="D195" s="46" t="s">
        <v>200</v>
      </c>
      <c r="E195" s="46" t="str">
        <f>IFERROR(VLOOKUP(TRIM(D195), Collection!$B$2:$D$1001, 2, FALSE), "")</f>
        <v>Historiques 222</v>
      </c>
      <c r="F195" s="49" t="str">
        <f>IFERROR(VLOOKUP(TRIM(D195), Collection!$B$2:$D$1001, 3, FALSE), "")</f>
        <v>121,000 AED</v>
      </c>
      <c r="G195" s="49">
        <f t="shared" si="6"/>
        <v>121000</v>
      </c>
      <c r="H195" s="46" t="s">
        <v>192</v>
      </c>
      <c r="I195" s="46">
        <v>103658184</v>
      </c>
      <c r="J195" s="46" t="s">
        <v>193</v>
      </c>
      <c r="K195" s="46" t="s">
        <v>194</v>
      </c>
      <c r="L195" s="46" t="s">
        <v>1128</v>
      </c>
      <c r="M195" s="46" t="b">
        <f t="shared" si="7"/>
        <v>0</v>
      </c>
    </row>
    <row r="196" spans="1:13" ht="31.2" x14ac:dyDescent="0.3">
      <c r="A196" s="46" t="s">
        <v>189</v>
      </c>
      <c r="B196" s="46" t="s">
        <v>1128</v>
      </c>
      <c r="C196" s="46" t="s">
        <v>561</v>
      </c>
      <c r="D196" s="46" t="s">
        <v>200</v>
      </c>
      <c r="E196" s="46" t="str">
        <f>IFERROR(VLOOKUP(TRIM(D196), Collection!$B$2:$D$1001, 2, FALSE), "")</f>
        <v>Historiques 222</v>
      </c>
      <c r="F196" s="49" t="str">
        <f>IFERROR(VLOOKUP(TRIM(D196), Collection!$B$2:$D$1001, 3, FALSE), "")</f>
        <v>121,000 AED</v>
      </c>
      <c r="G196" s="49">
        <f t="shared" si="6"/>
        <v>121000</v>
      </c>
      <c r="H196" s="46" t="s">
        <v>192</v>
      </c>
      <c r="I196" s="46">
        <v>100481133</v>
      </c>
      <c r="J196" s="46" t="s">
        <v>584</v>
      </c>
      <c r="K196" s="46" t="s">
        <v>194</v>
      </c>
      <c r="L196" s="46"/>
      <c r="M196" s="46" t="b">
        <f t="shared" si="7"/>
        <v>0</v>
      </c>
    </row>
    <row r="197" spans="1:13" ht="31.2" x14ac:dyDescent="0.3">
      <c r="A197" s="46" t="s">
        <v>189</v>
      </c>
      <c r="B197" s="46" t="s">
        <v>1128</v>
      </c>
      <c r="C197" s="46" t="s">
        <v>585</v>
      </c>
      <c r="D197" s="46" t="s">
        <v>200</v>
      </c>
      <c r="E197" s="46" t="str">
        <f>IFERROR(VLOOKUP(TRIM(D197), Collection!$B$2:$D$1001, 2, FALSE), "")</f>
        <v>Historiques 222</v>
      </c>
      <c r="F197" s="49" t="str">
        <f>IFERROR(VLOOKUP(TRIM(D197), Collection!$B$2:$D$1001, 3, FALSE), "")</f>
        <v>121,000 AED</v>
      </c>
      <c r="G197" s="49">
        <f t="shared" si="6"/>
        <v>121000</v>
      </c>
      <c r="H197" s="46" t="s">
        <v>192</v>
      </c>
      <c r="I197" s="46">
        <v>103633978</v>
      </c>
      <c r="J197" s="46" t="s">
        <v>193</v>
      </c>
      <c r="K197" s="46" t="s">
        <v>201</v>
      </c>
      <c r="L197" s="46" t="s">
        <v>1128</v>
      </c>
      <c r="M197" s="46" t="b">
        <f t="shared" si="7"/>
        <v>0</v>
      </c>
    </row>
    <row r="198" spans="1:13" ht="31.2" x14ac:dyDescent="0.3">
      <c r="A198" s="46" t="s">
        <v>189</v>
      </c>
      <c r="B198" s="46" t="s">
        <v>1128</v>
      </c>
      <c r="C198" s="46" t="s">
        <v>585</v>
      </c>
      <c r="D198" s="46" t="s">
        <v>200</v>
      </c>
      <c r="E198" s="46" t="str">
        <f>IFERROR(VLOOKUP(TRIM(D198), Collection!$B$2:$D$1001, 2, FALSE), "")</f>
        <v>Historiques 222</v>
      </c>
      <c r="F198" s="49" t="str">
        <f>IFERROR(VLOOKUP(TRIM(D198), Collection!$B$2:$D$1001, 3, FALSE), "")</f>
        <v>121,000 AED</v>
      </c>
      <c r="G198" s="49">
        <f t="shared" si="6"/>
        <v>121000</v>
      </c>
      <c r="H198" s="46" t="s">
        <v>192</v>
      </c>
      <c r="I198" s="46">
        <v>103632517</v>
      </c>
      <c r="J198" s="46" t="s">
        <v>193</v>
      </c>
      <c r="K198" s="46" t="s">
        <v>201</v>
      </c>
      <c r="L198" s="46" t="s">
        <v>1128</v>
      </c>
      <c r="M198" s="46" t="b">
        <f t="shared" si="7"/>
        <v>0</v>
      </c>
    </row>
    <row r="199" spans="1:13" ht="46.8" x14ac:dyDescent="0.3">
      <c r="A199" s="46" t="s">
        <v>189</v>
      </c>
      <c r="B199" s="46" t="s">
        <v>1128</v>
      </c>
      <c r="C199" s="46" t="s">
        <v>585</v>
      </c>
      <c r="D199" s="46" t="s">
        <v>200</v>
      </c>
      <c r="E199" s="46" t="str">
        <f>IFERROR(VLOOKUP(TRIM(D199), Collection!$B$2:$D$1001, 2, FALSE), "")</f>
        <v>Historiques 222</v>
      </c>
      <c r="F199" s="49" t="str">
        <f>IFERROR(VLOOKUP(TRIM(D199), Collection!$B$2:$D$1001, 3, FALSE), "")</f>
        <v>121,000 AED</v>
      </c>
      <c r="G199" s="49">
        <f t="shared" si="6"/>
        <v>121000</v>
      </c>
      <c r="H199" s="46" t="s">
        <v>192</v>
      </c>
      <c r="I199" s="46">
        <v>100432455</v>
      </c>
      <c r="J199" s="46" t="s">
        <v>193</v>
      </c>
      <c r="K199" s="46" t="s">
        <v>204</v>
      </c>
      <c r="L199" s="46" t="s">
        <v>1224</v>
      </c>
      <c r="M199" s="46" t="b">
        <f t="shared" si="7"/>
        <v>0</v>
      </c>
    </row>
    <row r="200" spans="1:13" ht="31.2" x14ac:dyDescent="0.3">
      <c r="A200" s="46" t="s">
        <v>189</v>
      </c>
      <c r="B200" s="46" t="s">
        <v>1128</v>
      </c>
      <c r="C200" s="46" t="s">
        <v>585</v>
      </c>
      <c r="D200" s="46" t="s">
        <v>200</v>
      </c>
      <c r="E200" s="46" t="str">
        <f>IFERROR(VLOOKUP(TRIM(D200), Collection!$B$2:$D$1001, 2, FALSE), "")</f>
        <v>Historiques 222</v>
      </c>
      <c r="F200" s="49" t="str">
        <f>IFERROR(VLOOKUP(TRIM(D200), Collection!$B$2:$D$1001, 3, FALSE), "")</f>
        <v>121,000 AED</v>
      </c>
      <c r="G200" s="49">
        <f t="shared" si="6"/>
        <v>121000</v>
      </c>
      <c r="H200" s="46" t="s">
        <v>192</v>
      </c>
      <c r="I200" s="46">
        <v>103634169</v>
      </c>
      <c r="J200" s="46" t="s">
        <v>193</v>
      </c>
      <c r="K200" s="46" t="s">
        <v>201</v>
      </c>
      <c r="L200" s="46" t="s">
        <v>1128</v>
      </c>
      <c r="M200" s="46" t="b">
        <f t="shared" si="7"/>
        <v>0</v>
      </c>
    </row>
    <row r="201" spans="1:13" ht="31.2" x14ac:dyDescent="0.3">
      <c r="A201" s="46" t="s">
        <v>189</v>
      </c>
      <c r="B201" s="46" t="s">
        <v>1128</v>
      </c>
      <c r="C201" s="46" t="s">
        <v>585</v>
      </c>
      <c r="D201" s="46" t="s">
        <v>200</v>
      </c>
      <c r="E201" s="46" t="str">
        <f>IFERROR(VLOOKUP(TRIM(D201), Collection!$B$2:$D$1001, 2, FALSE), "")</f>
        <v>Historiques 222</v>
      </c>
      <c r="F201" s="49" t="str">
        <f>IFERROR(VLOOKUP(TRIM(D201), Collection!$B$2:$D$1001, 3, FALSE), "")</f>
        <v>121,000 AED</v>
      </c>
      <c r="G201" s="49">
        <f t="shared" si="6"/>
        <v>121000</v>
      </c>
      <c r="H201" s="46" t="s">
        <v>192</v>
      </c>
      <c r="I201" s="46">
        <v>103634472</v>
      </c>
      <c r="J201" s="46" t="s">
        <v>193</v>
      </c>
      <c r="K201" s="46" t="s">
        <v>201</v>
      </c>
      <c r="L201" s="46" t="s">
        <v>1128</v>
      </c>
      <c r="M201" s="46" t="b">
        <f t="shared" si="7"/>
        <v>0</v>
      </c>
    </row>
    <row r="202" spans="1:13" ht="31.2" x14ac:dyDescent="0.3">
      <c r="A202" s="46" t="s">
        <v>189</v>
      </c>
      <c r="B202" s="46" t="s">
        <v>1128</v>
      </c>
      <c r="C202" s="46" t="s">
        <v>585</v>
      </c>
      <c r="D202" s="46" t="s">
        <v>200</v>
      </c>
      <c r="E202" s="46" t="str">
        <f>IFERROR(VLOOKUP(TRIM(D202), Collection!$B$2:$D$1001, 2, FALSE), "")</f>
        <v>Historiques 222</v>
      </c>
      <c r="F202" s="49" t="str">
        <f>IFERROR(VLOOKUP(TRIM(D202), Collection!$B$2:$D$1001, 3, FALSE), "")</f>
        <v>121,000 AED</v>
      </c>
      <c r="G202" s="49">
        <f t="shared" si="6"/>
        <v>121000</v>
      </c>
      <c r="H202" s="46" t="s">
        <v>192</v>
      </c>
      <c r="I202" s="46">
        <v>103634611</v>
      </c>
      <c r="J202" s="46" t="s">
        <v>193</v>
      </c>
      <c r="K202" s="46" t="s">
        <v>201</v>
      </c>
      <c r="L202" s="46" t="s">
        <v>1128</v>
      </c>
      <c r="M202" s="46" t="b">
        <f t="shared" si="7"/>
        <v>0</v>
      </c>
    </row>
    <row r="203" spans="1:13" ht="31.2" x14ac:dyDescent="0.3">
      <c r="A203" s="46" t="s">
        <v>189</v>
      </c>
      <c r="B203" s="46" t="s">
        <v>1128</v>
      </c>
      <c r="C203" s="46" t="s">
        <v>585</v>
      </c>
      <c r="D203" s="46" t="s">
        <v>200</v>
      </c>
      <c r="E203" s="46" t="str">
        <f>IFERROR(VLOOKUP(TRIM(D203), Collection!$B$2:$D$1001, 2, FALSE), "")</f>
        <v>Historiques 222</v>
      </c>
      <c r="F203" s="49" t="str">
        <f>IFERROR(VLOOKUP(TRIM(D203), Collection!$B$2:$D$1001, 3, FALSE), "")</f>
        <v>121,000 AED</v>
      </c>
      <c r="G203" s="49">
        <f t="shared" si="6"/>
        <v>121000</v>
      </c>
      <c r="H203" s="46" t="s">
        <v>192</v>
      </c>
      <c r="I203" s="46">
        <v>103632652</v>
      </c>
      <c r="J203" s="46" t="s">
        <v>193</v>
      </c>
      <c r="K203" s="46" t="s">
        <v>201</v>
      </c>
      <c r="L203" s="46" t="s">
        <v>1128</v>
      </c>
      <c r="M203" s="46" t="b">
        <f t="shared" si="7"/>
        <v>0</v>
      </c>
    </row>
    <row r="204" spans="1:13" ht="31.2" x14ac:dyDescent="0.3">
      <c r="A204" s="46" t="s">
        <v>189</v>
      </c>
      <c r="B204" s="46" t="s">
        <v>1128</v>
      </c>
      <c r="C204" s="46" t="s">
        <v>585</v>
      </c>
      <c r="D204" s="46" t="s">
        <v>200</v>
      </c>
      <c r="E204" s="46" t="str">
        <f>IFERROR(VLOOKUP(TRIM(D204), Collection!$B$2:$D$1001, 2, FALSE), "")</f>
        <v>Historiques 222</v>
      </c>
      <c r="F204" s="49" t="str">
        <f>IFERROR(VLOOKUP(TRIM(D204), Collection!$B$2:$D$1001, 3, FALSE), "")</f>
        <v>121,000 AED</v>
      </c>
      <c r="G204" s="49">
        <f t="shared" si="6"/>
        <v>121000</v>
      </c>
      <c r="H204" s="46" t="s">
        <v>192</v>
      </c>
      <c r="I204" s="46">
        <v>103642113</v>
      </c>
      <c r="J204" s="46" t="s">
        <v>193</v>
      </c>
      <c r="K204" s="46" t="s">
        <v>194</v>
      </c>
      <c r="L204" s="46" t="s">
        <v>1225</v>
      </c>
      <c r="M204" s="46" t="b">
        <f t="shared" si="7"/>
        <v>0</v>
      </c>
    </row>
    <row r="205" spans="1:13" ht="31.2" x14ac:dyDescent="0.3">
      <c r="A205" s="46" t="s">
        <v>189</v>
      </c>
      <c r="B205" s="46" t="s">
        <v>1128</v>
      </c>
      <c r="C205" s="46" t="s">
        <v>585</v>
      </c>
      <c r="D205" s="46" t="s">
        <v>200</v>
      </c>
      <c r="E205" s="46" t="str">
        <f>IFERROR(VLOOKUP(TRIM(D205), Collection!$B$2:$D$1001, 2, FALSE), "")</f>
        <v>Historiques 222</v>
      </c>
      <c r="F205" s="49" t="str">
        <f>IFERROR(VLOOKUP(TRIM(D205), Collection!$B$2:$D$1001, 3, FALSE), "")</f>
        <v>121,000 AED</v>
      </c>
      <c r="G205" s="49">
        <f t="shared" si="6"/>
        <v>121000</v>
      </c>
      <c r="H205" s="46" t="s">
        <v>192</v>
      </c>
      <c r="I205" s="46">
        <v>98199321</v>
      </c>
      <c r="J205" s="46" t="s">
        <v>596</v>
      </c>
      <c r="K205" s="46" t="s">
        <v>194</v>
      </c>
      <c r="L205" s="46" t="s">
        <v>1226</v>
      </c>
      <c r="M205" s="46" t="b">
        <f t="shared" si="7"/>
        <v>0</v>
      </c>
    </row>
    <row r="206" spans="1:13" ht="31.2" x14ac:dyDescent="0.3">
      <c r="A206" s="46" t="s">
        <v>189</v>
      </c>
      <c r="B206" s="46" t="s">
        <v>1128</v>
      </c>
      <c r="C206" s="46" t="s">
        <v>585</v>
      </c>
      <c r="D206" s="46" t="s">
        <v>200</v>
      </c>
      <c r="E206" s="46" t="str">
        <f>IFERROR(VLOOKUP(TRIM(D206), Collection!$B$2:$D$1001, 2, FALSE), "")</f>
        <v>Historiques 222</v>
      </c>
      <c r="F206" s="49" t="str">
        <f>IFERROR(VLOOKUP(TRIM(D206), Collection!$B$2:$D$1001, 3, FALSE), "")</f>
        <v>121,000 AED</v>
      </c>
      <c r="G206" s="49">
        <f t="shared" si="6"/>
        <v>121000</v>
      </c>
      <c r="H206" s="46" t="s">
        <v>192</v>
      </c>
      <c r="I206" s="46">
        <v>92397711</v>
      </c>
      <c r="J206" s="46" t="s">
        <v>584</v>
      </c>
      <c r="K206" s="46" t="s">
        <v>194</v>
      </c>
      <c r="L206" s="46"/>
      <c r="M206" s="46" t="b">
        <f t="shared" si="7"/>
        <v>0</v>
      </c>
    </row>
    <row r="207" spans="1:13" ht="31.2" x14ac:dyDescent="0.3">
      <c r="A207" s="46" t="s">
        <v>189</v>
      </c>
      <c r="B207" s="46" t="s">
        <v>1128</v>
      </c>
      <c r="C207" s="46" t="s">
        <v>585</v>
      </c>
      <c r="D207" s="46" t="s">
        <v>200</v>
      </c>
      <c r="E207" s="46" t="str">
        <f>IFERROR(VLOOKUP(TRIM(D207), Collection!$B$2:$D$1001, 2, FALSE), "")</f>
        <v>Historiques 222</v>
      </c>
      <c r="F207" s="49" t="str">
        <f>IFERROR(VLOOKUP(TRIM(D207), Collection!$B$2:$D$1001, 3, FALSE), "")</f>
        <v>121,000 AED</v>
      </c>
      <c r="G207" s="49">
        <f t="shared" si="6"/>
        <v>121000</v>
      </c>
      <c r="H207" s="46" t="s">
        <v>192</v>
      </c>
      <c r="I207" s="46">
        <v>103645755</v>
      </c>
      <c r="J207" s="46" t="s">
        <v>193</v>
      </c>
      <c r="K207" s="46" t="s">
        <v>201</v>
      </c>
      <c r="L207" s="46" t="s">
        <v>1128</v>
      </c>
      <c r="M207" s="46" t="b">
        <f t="shared" si="7"/>
        <v>0</v>
      </c>
    </row>
    <row r="208" spans="1:13" ht="31.2" x14ac:dyDescent="0.3">
      <c r="A208" s="46" t="s">
        <v>189</v>
      </c>
      <c r="B208" s="46" t="s">
        <v>1128</v>
      </c>
      <c r="C208" s="46" t="s">
        <v>585</v>
      </c>
      <c r="D208" s="46" t="s">
        <v>200</v>
      </c>
      <c r="E208" s="46" t="str">
        <f>IFERROR(VLOOKUP(TRIM(D208), Collection!$B$2:$D$1001, 2, FALSE), "")</f>
        <v>Historiques 222</v>
      </c>
      <c r="F208" s="49" t="str">
        <f>IFERROR(VLOOKUP(TRIM(D208), Collection!$B$2:$D$1001, 3, FALSE), "")</f>
        <v>121,000 AED</v>
      </c>
      <c r="G208" s="49">
        <f t="shared" si="6"/>
        <v>121000</v>
      </c>
      <c r="H208" s="46" t="s">
        <v>192</v>
      </c>
      <c r="I208" s="46">
        <v>92410153</v>
      </c>
      <c r="J208" s="46" t="s">
        <v>193</v>
      </c>
      <c r="K208" s="46" t="s">
        <v>201</v>
      </c>
      <c r="L208" s="46" t="s">
        <v>1128</v>
      </c>
      <c r="M208" s="46" t="b">
        <f t="shared" si="7"/>
        <v>0</v>
      </c>
    </row>
    <row r="209" spans="1:13" ht="31.2" x14ac:dyDescent="0.3">
      <c r="A209" s="46" t="s">
        <v>189</v>
      </c>
      <c r="B209" s="46" t="s">
        <v>1128</v>
      </c>
      <c r="C209" s="46" t="s">
        <v>585</v>
      </c>
      <c r="D209" s="46" t="s">
        <v>200</v>
      </c>
      <c r="E209" s="46" t="str">
        <f>IFERROR(VLOOKUP(TRIM(D209), Collection!$B$2:$D$1001, 2, FALSE), "")</f>
        <v>Historiques 222</v>
      </c>
      <c r="F209" s="49" t="str">
        <f>IFERROR(VLOOKUP(TRIM(D209), Collection!$B$2:$D$1001, 3, FALSE), "")</f>
        <v>121,000 AED</v>
      </c>
      <c r="G209" s="49">
        <f t="shared" si="6"/>
        <v>121000</v>
      </c>
      <c r="H209" s="46" t="s">
        <v>192</v>
      </c>
      <c r="I209" s="46">
        <v>92406326</v>
      </c>
      <c r="J209" s="46" t="s">
        <v>193</v>
      </c>
      <c r="K209" s="46" t="s">
        <v>201</v>
      </c>
      <c r="L209" s="46" t="s">
        <v>1128</v>
      </c>
      <c r="M209" s="46" t="b">
        <f t="shared" si="7"/>
        <v>0</v>
      </c>
    </row>
    <row r="210" spans="1:13" ht="31.2" x14ac:dyDescent="0.3">
      <c r="A210" s="46" t="s">
        <v>189</v>
      </c>
      <c r="B210" s="46" t="s">
        <v>1128</v>
      </c>
      <c r="C210" s="46" t="s">
        <v>585</v>
      </c>
      <c r="D210" s="46" t="s">
        <v>200</v>
      </c>
      <c r="E210" s="46" t="str">
        <f>IFERROR(VLOOKUP(TRIM(D210), Collection!$B$2:$D$1001, 2, FALSE), "")</f>
        <v>Historiques 222</v>
      </c>
      <c r="F210" s="49" t="str">
        <f>IFERROR(VLOOKUP(TRIM(D210), Collection!$B$2:$D$1001, 3, FALSE), "")</f>
        <v>121,000 AED</v>
      </c>
      <c r="G210" s="49">
        <f t="shared" si="6"/>
        <v>121000</v>
      </c>
      <c r="H210" s="46" t="s">
        <v>192</v>
      </c>
      <c r="I210" s="46">
        <v>100217721</v>
      </c>
      <c r="J210" s="46" t="s">
        <v>193</v>
      </c>
      <c r="K210" s="46" t="s">
        <v>201</v>
      </c>
      <c r="L210" s="46" t="s">
        <v>1128</v>
      </c>
      <c r="M210" s="46" t="b">
        <f t="shared" si="7"/>
        <v>0</v>
      </c>
    </row>
    <row r="211" spans="1:13" ht="31.2" x14ac:dyDescent="0.3">
      <c r="A211" s="46" t="s">
        <v>189</v>
      </c>
      <c r="B211" s="46" t="s">
        <v>1128</v>
      </c>
      <c r="C211" s="46" t="s">
        <v>585</v>
      </c>
      <c r="D211" s="46" t="s">
        <v>200</v>
      </c>
      <c r="E211" s="46" t="str">
        <f>IFERROR(VLOOKUP(TRIM(D211), Collection!$B$2:$D$1001, 2, FALSE), "")</f>
        <v>Historiques 222</v>
      </c>
      <c r="F211" s="49" t="str">
        <f>IFERROR(VLOOKUP(TRIM(D211), Collection!$B$2:$D$1001, 3, FALSE), "")</f>
        <v>121,000 AED</v>
      </c>
      <c r="G211" s="49">
        <f t="shared" si="6"/>
        <v>121000</v>
      </c>
      <c r="H211" s="46" t="s">
        <v>192</v>
      </c>
      <c r="I211" s="46">
        <v>103646324</v>
      </c>
      <c r="J211" s="46" t="s">
        <v>193</v>
      </c>
      <c r="K211" s="46" t="s">
        <v>201</v>
      </c>
      <c r="L211" s="46" t="s">
        <v>1128</v>
      </c>
      <c r="M211" s="46" t="b">
        <f t="shared" si="7"/>
        <v>0</v>
      </c>
    </row>
    <row r="212" spans="1:13" ht="31.2" x14ac:dyDescent="0.3">
      <c r="A212" s="46" t="s">
        <v>189</v>
      </c>
      <c r="B212" s="46" t="s">
        <v>1128</v>
      </c>
      <c r="C212" s="46" t="s">
        <v>585</v>
      </c>
      <c r="D212" s="46" t="s">
        <v>200</v>
      </c>
      <c r="E212" s="46" t="str">
        <f>IFERROR(VLOOKUP(TRIM(D212), Collection!$B$2:$D$1001, 2, FALSE), "")</f>
        <v>Historiques 222</v>
      </c>
      <c r="F212" s="49" t="str">
        <f>IFERROR(VLOOKUP(TRIM(D212), Collection!$B$2:$D$1001, 3, FALSE), "")</f>
        <v>121,000 AED</v>
      </c>
      <c r="G212" s="49">
        <f t="shared" si="6"/>
        <v>121000</v>
      </c>
      <c r="H212" s="46" t="s">
        <v>192</v>
      </c>
      <c r="I212" s="46">
        <v>103646387</v>
      </c>
      <c r="J212" s="46" t="s">
        <v>193</v>
      </c>
      <c r="K212" s="46" t="s">
        <v>201</v>
      </c>
      <c r="L212" s="46" t="s">
        <v>1128</v>
      </c>
      <c r="M212" s="46" t="b">
        <f t="shared" si="7"/>
        <v>0</v>
      </c>
    </row>
    <row r="213" spans="1:13" ht="31.2" x14ac:dyDescent="0.3">
      <c r="A213" s="46" t="s">
        <v>189</v>
      </c>
      <c r="B213" s="46" t="s">
        <v>1128</v>
      </c>
      <c r="C213" s="46" t="s">
        <v>585</v>
      </c>
      <c r="D213" s="46" t="s">
        <v>200</v>
      </c>
      <c r="E213" s="46" t="str">
        <f>IFERROR(VLOOKUP(TRIM(D213), Collection!$B$2:$D$1001, 2, FALSE), "")</f>
        <v>Historiques 222</v>
      </c>
      <c r="F213" s="49" t="str">
        <f>IFERROR(VLOOKUP(TRIM(D213), Collection!$B$2:$D$1001, 3, FALSE), "")</f>
        <v>121,000 AED</v>
      </c>
      <c r="G213" s="49">
        <f t="shared" si="6"/>
        <v>121000</v>
      </c>
      <c r="H213" s="46" t="s">
        <v>192</v>
      </c>
      <c r="I213" s="46">
        <v>101009517</v>
      </c>
      <c r="J213" s="46" t="s">
        <v>193</v>
      </c>
      <c r="K213" s="46" t="s">
        <v>201</v>
      </c>
      <c r="L213" s="46" t="s">
        <v>1128</v>
      </c>
      <c r="M213" s="46" t="b">
        <f t="shared" si="7"/>
        <v>0</v>
      </c>
    </row>
    <row r="214" spans="1:13" ht="31.2" x14ac:dyDescent="0.3">
      <c r="A214" s="46" t="s">
        <v>189</v>
      </c>
      <c r="B214" s="46" t="s">
        <v>1128</v>
      </c>
      <c r="C214" s="46" t="s">
        <v>585</v>
      </c>
      <c r="D214" s="46" t="s">
        <v>200</v>
      </c>
      <c r="E214" s="46" t="str">
        <f>IFERROR(VLOOKUP(TRIM(D214), Collection!$B$2:$D$1001, 2, FALSE), "")</f>
        <v>Historiques 222</v>
      </c>
      <c r="F214" s="49" t="str">
        <f>IFERROR(VLOOKUP(TRIM(D214), Collection!$B$2:$D$1001, 3, FALSE), "")</f>
        <v>121,000 AED</v>
      </c>
      <c r="G214" s="49">
        <f t="shared" si="6"/>
        <v>121000</v>
      </c>
      <c r="H214" s="46" t="s">
        <v>192</v>
      </c>
      <c r="I214" s="46">
        <v>101623615</v>
      </c>
      <c r="J214" s="46" t="s">
        <v>193</v>
      </c>
      <c r="K214" s="46" t="s">
        <v>201</v>
      </c>
      <c r="L214" s="46" t="s">
        <v>1128</v>
      </c>
      <c r="M214" s="46" t="b">
        <f t="shared" si="7"/>
        <v>0</v>
      </c>
    </row>
    <row r="215" spans="1:13" ht="31.2" x14ac:dyDescent="0.3">
      <c r="A215" s="46" t="s">
        <v>189</v>
      </c>
      <c r="B215" s="46" t="s">
        <v>1128</v>
      </c>
      <c r="C215" s="46" t="s">
        <v>585</v>
      </c>
      <c r="D215" s="46" t="s">
        <v>200</v>
      </c>
      <c r="E215" s="46" t="str">
        <f>IFERROR(VLOOKUP(TRIM(D215), Collection!$B$2:$D$1001, 2, FALSE), "")</f>
        <v>Historiques 222</v>
      </c>
      <c r="F215" s="49" t="str">
        <f>IFERROR(VLOOKUP(TRIM(D215), Collection!$B$2:$D$1001, 3, FALSE), "")</f>
        <v>121,000 AED</v>
      </c>
      <c r="G215" s="49">
        <f t="shared" si="6"/>
        <v>121000</v>
      </c>
      <c r="H215" s="46" t="s">
        <v>192</v>
      </c>
      <c r="I215" s="46">
        <v>101346110</v>
      </c>
      <c r="J215" s="46" t="s">
        <v>193</v>
      </c>
      <c r="K215" s="46" t="s">
        <v>194</v>
      </c>
      <c r="L215" s="46" t="s">
        <v>1128</v>
      </c>
      <c r="M215" s="46" t="b">
        <f t="shared" si="7"/>
        <v>0</v>
      </c>
    </row>
    <row r="216" spans="1:13" ht="31.2" x14ac:dyDescent="0.3">
      <c r="A216" s="46" t="s">
        <v>189</v>
      </c>
      <c r="B216" s="46" t="s">
        <v>1128</v>
      </c>
      <c r="C216" s="46" t="s">
        <v>585</v>
      </c>
      <c r="D216" s="46" t="s">
        <v>200</v>
      </c>
      <c r="E216" s="46" t="str">
        <f>IFERROR(VLOOKUP(TRIM(D216), Collection!$B$2:$D$1001, 2, FALSE), "")</f>
        <v>Historiques 222</v>
      </c>
      <c r="F216" s="49" t="str">
        <f>IFERROR(VLOOKUP(TRIM(D216), Collection!$B$2:$D$1001, 3, FALSE), "")</f>
        <v>121,000 AED</v>
      </c>
      <c r="G216" s="49">
        <f t="shared" si="6"/>
        <v>121000</v>
      </c>
      <c r="H216" s="46" t="s">
        <v>192</v>
      </c>
      <c r="I216" s="46">
        <v>102180966</v>
      </c>
      <c r="J216" s="46" t="s">
        <v>193</v>
      </c>
      <c r="K216" s="46" t="s">
        <v>201</v>
      </c>
      <c r="L216" s="46" t="s">
        <v>1128</v>
      </c>
      <c r="M216" s="46" t="b">
        <f t="shared" si="7"/>
        <v>0</v>
      </c>
    </row>
    <row r="217" spans="1:13" ht="31.2" x14ac:dyDescent="0.3">
      <c r="A217" s="46" t="s">
        <v>189</v>
      </c>
      <c r="B217" s="46" t="s">
        <v>1128</v>
      </c>
      <c r="C217" s="46" t="s">
        <v>585</v>
      </c>
      <c r="D217" s="46" t="s">
        <v>200</v>
      </c>
      <c r="E217" s="46" t="str">
        <f>IFERROR(VLOOKUP(TRIM(D217), Collection!$B$2:$D$1001, 2, FALSE), "")</f>
        <v>Historiques 222</v>
      </c>
      <c r="F217" s="49" t="str">
        <f>IFERROR(VLOOKUP(TRIM(D217), Collection!$B$2:$D$1001, 3, FALSE), "")</f>
        <v>121,000 AED</v>
      </c>
      <c r="G217" s="49">
        <f t="shared" si="6"/>
        <v>121000</v>
      </c>
      <c r="H217" s="46" t="s">
        <v>192</v>
      </c>
      <c r="I217" s="46">
        <v>103656728</v>
      </c>
      <c r="J217" s="46" t="s">
        <v>193</v>
      </c>
      <c r="K217" s="46" t="s">
        <v>194</v>
      </c>
      <c r="L217" s="46" t="s">
        <v>1128</v>
      </c>
      <c r="M217" s="46" t="b">
        <f t="shared" si="7"/>
        <v>0</v>
      </c>
    </row>
    <row r="218" spans="1:13" ht="31.2" x14ac:dyDescent="0.3">
      <c r="A218" s="46" t="s">
        <v>189</v>
      </c>
      <c r="B218" s="46" t="s">
        <v>1128</v>
      </c>
      <c r="C218" s="46" t="s">
        <v>585</v>
      </c>
      <c r="D218" s="46" t="s">
        <v>200</v>
      </c>
      <c r="E218" s="46" t="str">
        <f>IFERROR(VLOOKUP(TRIM(D218), Collection!$B$2:$D$1001, 2, FALSE), "")</f>
        <v>Historiques 222</v>
      </c>
      <c r="F218" s="49" t="str">
        <f>IFERROR(VLOOKUP(TRIM(D218), Collection!$B$2:$D$1001, 3, FALSE), "")</f>
        <v>121,000 AED</v>
      </c>
      <c r="G218" s="49">
        <f t="shared" si="6"/>
        <v>121000</v>
      </c>
      <c r="H218" s="46" t="s">
        <v>192</v>
      </c>
      <c r="I218" s="46">
        <v>92403591</v>
      </c>
      <c r="J218" s="46" t="s">
        <v>193</v>
      </c>
      <c r="K218" s="46" t="s">
        <v>194</v>
      </c>
      <c r="L218" s="46" t="s">
        <v>1128</v>
      </c>
      <c r="M218" s="46" t="b">
        <f t="shared" si="7"/>
        <v>0</v>
      </c>
    </row>
    <row r="219" spans="1:13" ht="31.2" x14ac:dyDescent="0.3">
      <c r="A219" s="46" t="s">
        <v>189</v>
      </c>
      <c r="B219" s="46" t="s">
        <v>1128</v>
      </c>
      <c r="C219" s="46" t="s">
        <v>585</v>
      </c>
      <c r="D219" s="46" t="s">
        <v>200</v>
      </c>
      <c r="E219" s="46" t="str">
        <f>IFERROR(VLOOKUP(TRIM(D219), Collection!$B$2:$D$1001, 2, FALSE), "")</f>
        <v>Historiques 222</v>
      </c>
      <c r="F219" s="49" t="str">
        <f>IFERROR(VLOOKUP(TRIM(D219), Collection!$B$2:$D$1001, 3, FALSE), "")</f>
        <v>121,000 AED</v>
      </c>
      <c r="G219" s="49">
        <f t="shared" si="6"/>
        <v>121000</v>
      </c>
      <c r="H219" s="46" t="s">
        <v>192</v>
      </c>
      <c r="I219" s="46">
        <v>92400865</v>
      </c>
      <c r="J219" s="46" t="s">
        <v>193</v>
      </c>
      <c r="K219" s="46" t="s">
        <v>194</v>
      </c>
      <c r="L219" s="46" t="s">
        <v>1128</v>
      </c>
      <c r="M219" s="46" t="b">
        <f t="shared" si="7"/>
        <v>0</v>
      </c>
    </row>
    <row r="220" spans="1:13" ht="31.2" x14ac:dyDescent="0.3">
      <c r="A220" s="46" t="s">
        <v>189</v>
      </c>
      <c r="B220" s="46" t="s">
        <v>1128</v>
      </c>
      <c r="C220" s="46" t="s">
        <v>612</v>
      </c>
      <c r="D220" s="46" t="s">
        <v>200</v>
      </c>
      <c r="E220" s="46" t="str">
        <f>IFERROR(VLOOKUP(TRIM(D220), Collection!$B$2:$D$1001, 2, FALSE), "")</f>
        <v>Historiques 222</v>
      </c>
      <c r="F220" s="49" t="str">
        <f>IFERROR(VLOOKUP(TRIM(D220), Collection!$B$2:$D$1001, 3, FALSE), "")</f>
        <v>121,000 AED</v>
      </c>
      <c r="G220" s="49">
        <f t="shared" si="6"/>
        <v>121000</v>
      </c>
      <c r="H220" s="46" t="s">
        <v>192</v>
      </c>
      <c r="I220" s="46">
        <v>103617461</v>
      </c>
      <c r="J220" s="46" t="s">
        <v>193</v>
      </c>
      <c r="K220" s="46" t="s">
        <v>201</v>
      </c>
      <c r="L220" s="46" t="s">
        <v>1128</v>
      </c>
      <c r="M220" s="46" t="b">
        <f t="shared" si="7"/>
        <v>0</v>
      </c>
    </row>
    <row r="221" spans="1:13" ht="31.2" x14ac:dyDescent="0.3">
      <c r="A221" s="46" t="s">
        <v>189</v>
      </c>
      <c r="B221" s="46" t="s">
        <v>1128</v>
      </c>
      <c r="C221" s="46" t="s">
        <v>612</v>
      </c>
      <c r="D221" s="46" t="s">
        <v>200</v>
      </c>
      <c r="E221" s="46" t="str">
        <f>IFERROR(VLOOKUP(TRIM(D221), Collection!$B$2:$D$1001, 2, FALSE), "")</f>
        <v>Historiques 222</v>
      </c>
      <c r="F221" s="49" t="str">
        <f>IFERROR(VLOOKUP(TRIM(D221), Collection!$B$2:$D$1001, 3, FALSE), "")</f>
        <v>121,000 AED</v>
      </c>
      <c r="G221" s="49">
        <f t="shared" si="6"/>
        <v>121000</v>
      </c>
      <c r="H221" s="46" t="s">
        <v>192</v>
      </c>
      <c r="I221" s="46">
        <v>103630373</v>
      </c>
      <c r="J221" s="46" t="s">
        <v>193</v>
      </c>
      <c r="K221" s="46" t="s">
        <v>204</v>
      </c>
      <c r="L221" s="46" t="s">
        <v>1227</v>
      </c>
      <c r="M221" s="46" t="b">
        <f t="shared" si="7"/>
        <v>0</v>
      </c>
    </row>
    <row r="222" spans="1:13" ht="31.2" x14ac:dyDescent="0.3">
      <c r="A222" s="46" t="s">
        <v>189</v>
      </c>
      <c r="B222" s="46" t="s">
        <v>1128</v>
      </c>
      <c r="C222" s="46" t="s">
        <v>612</v>
      </c>
      <c r="D222" s="46" t="s">
        <v>200</v>
      </c>
      <c r="E222" s="46" t="str">
        <f>IFERROR(VLOOKUP(TRIM(D222), Collection!$B$2:$D$1001, 2, FALSE), "")</f>
        <v>Historiques 222</v>
      </c>
      <c r="F222" s="49" t="str">
        <f>IFERROR(VLOOKUP(TRIM(D222), Collection!$B$2:$D$1001, 3, FALSE), "")</f>
        <v>121,000 AED</v>
      </c>
      <c r="G222" s="49">
        <f t="shared" si="6"/>
        <v>121000</v>
      </c>
      <c r="H222" s="46" t="s">
        <v>192</v>
      </c>
      <c r="I222" s="46">
        <v>103620891</v>
      </c>
      <c r="J222" s="46" t="s">
        <v>193</v>
      </c>
      <c r="K222" s="46" t="s">
        <v>201</v>
      </c>
      <c r="L222" s="46" t="s">
        <v>1228</v>
      </c>
      <c r="M222" s="46" t="b">
        <f t="shared" si="7"/>
        <v>0</v>
      </c>
    </row>
    <row r="223" spans="1:13" ht="31.2" x14ac:dyDescent="0.3">
      <c r="A223" s="46" t="s">
        <v>189</v>
      </c>
      <c r="B223" s="46" t="s">
        <v>1128</v>
      </c>
      <c r="C223" s="46" t="s">
        <v>612</v>
      </c>
      <c r="D223" s="46" t="s">
        <v>200</v>
      </c>
      <c r="E223" s="46" t="str">
        <f>IFERROR(VLOOKUP(TRIM(D223), Collection!$B$2:$D$1001, 2, FALSE), "")</f>
        <v>Historiques 222</v>
      </c>
      <c r="F223" s="49" t="str">
        <f>IFERROR(VLOOKUP(TRIM(D223), Collection!$B$2:$D$1001, 3, FALSE), "")</f>
        <v>121,000 AED</v>
      </c>
      <c r="G223" s="49">
        <f t="shared" si="6"/>
        <v>121000</v>
      </c>
      <c r="H223" s="46" t="s">
        <v>192</v>
      </c>
      <c r="I223" s="46">
        <v>103622461</v>
      </c>
      <c r="J223" s="46" t="s">
        <v>193</v>
      </c>
      <c r="K223" s="46" t="s">
        <v>204</v>
      </c>
      <c r="L223" s="46" t="s">
        <v>1229</v>
      </c>
      <c r="M223" s="46" t="b">
        <f t="shared" si="7"/>
        <v>0</v>
      </c>
    </row>
    <row r="224" spans="1:13" ht="31.2" x14ac:dyDescent="0.3">
      <c r="A224" s="46" t="s">
        <v>189</v>
      </c>
      <c r="B224" s="46" t="s">
        <v>1128</v>
      </c>
      <c r="C224" s="46" t="s">
        <v>612</v>
      </c>
      <c r="D224" s="46" t="s">
        <v>200</v>
      </c>
      <c r="E224" s="46" t="str">
        <f>IFERROR(VLOOKUP(TRIM(D224), Collection!$B$2:$D$1001, 2, FALSE), "")</f>
        <v>Historiques 222</v>
      </c>
      <c r="F224" s="49" t="str">
        <f>IFERROR(VLOOKUP(TRIM(D224), Collection!$B$2:$D$1001, 3, FALSE), "")</f>
        <v>121,000 AED</v>
      </c>
      <c r="G224" s="49">
        <f t="shared" si="6"/>
        <v>121000</v>
      </c>
      <c r="H224" s="46" t="s">
        <v>192</v>
      </c>
      <c r="I224" s="46">
        <v>103616594</v>
      </c>
      <c r="J224" s="46" t="s">
        <v>193</v>
      </c>
      <c r="K224" s="46" t="s">
        <v>194</v>
      </c>
      <c r="L224" s="46" t="s">
        <v>1230</v>
      </c>
      <c r="M224" s="46" t="b">
        <f t="shared" si="7"/>
        <v>0</v>
      </c>
    </row>
    <row r="225" spans="1:13" ht="31.2" x14ac:dyDescent="0.3">
      <c r="A225" s="46" t="s">
        <v>189</v>
      </c>
      <c r="B225" s="46" t="s">
        <v>1128</v>
      </c>
      <c r="C225" s="46" t="s">
        <v>612</v>
      </c>
      <c r="D225" s="46" t="s">
        <v>200</v>
      </c>
      <c r="E225" s="46" t="str">
        <f>IFERROR(VLOOKUP(TRIM(D225), Collection!$B$2:$D$1001, 2, FALSE), "")</f>
        <v>Historiques 222</v>
      </c>
      <c r="F225" s="49" t="str">
        <f>IFERROR(VLOOKUP(TRIM(D225), Collection!$B$2:$D$1001, 3, FALSE), "")</f>
        <v>121,000 AED</v>
      </c>
      <c r="G225" s="49">
        <f t="shared" si="6"/>
        <v>121000</v>
      </c>
      <c r="H225" s="46" t="s">
        <v>192</v>
      </c>
      <c r="I225" s="46">
        <v>103610315</v>
      </c>
      <c r="J225" s="46" t="s">
        <v>193</v>
      </c>
      <c r="K225" s="46" t="s">
        <v>194</v>
      </c>
      <c r="L225" s="46" t="s">
        <v>1231</v>
      </c>
      <c r="M225" s="46" t="b">
        <f t="shared" si="7"/>
        <v>0</v>
      </c>
    </row>
    <row r="226" spans="1:13" ht="31.2" x14ac:dyDescent="0.3">
      <c r="A226" s="46" t="s">
        <v>189</v>
      </c>
      <c r="B226" s="46" t="s">
        <v>1128</v>
      </c>
      <c r="C226" s="46" t="s">
        <v>612</v>
      </c>
      <c r="D226" s="46" t="s">
        <v>200</v>
      </c>
      <c r="E226" s="46" t="str">
        <f>IFERROR(VLOOKUP(TRIM(D226), Collection!$B$2:$D$1001, 2, FALSE), "")</f>
        <v>Historiques 222</v>
      </c>
      <c r="F226" s="49" t="str">
        <f>IFERROR(VLOOKUP(TRIM(D226), Collection!$B$2:$D$1001, 3, FALSE), "")</f>
        <v>121,000 AED</v>
      </c>
      <c r="G226" s="49">
        <f t="shared" si="6"/>
        <v>121000</v>
      </c>
      <c r="H226" s="46" t="s">
        <v>192</v>
      </c>
      <c r="I226" s="46">
        <v>92400627</v>
      </c>
      <c r="J226" s="46" t="s">
        <v>193</v>
      </c>
      <c r="K226" s="46" t="s">
        <v>201</v>
      </c>
      <c r="L226" s="46" t="s">
        <v>1232</v>
      </c>
      <c r="M226" s="46" t="b">
        <f t="shared" si="7"/>
        <v>0</v>
      </c>
    </row>
    <row r="227" spans="1:13" ht="31.2" x14ac:dyDescent="0.3">
      <c r="A227" s="46" t="s">
        <v>189</v>
      </c>
      <c r="B227" s="46" t="s">
        <v>1128</v>
      </c>
      <c r="C227" s="46" t="s">
        <v>612</v>
      </c>
      <c r="D227" s="46" t="s">
        <v>200</v>
      </c>
      <c r="E227" s="46" t="str">
        <f>IFERROR(VLOOKUP(TRIM(D227), Collection!$B$2:$D$1001, 2, FALSE), "")</f>
        <v>Historiques 222</v>
      </c>
      <c r="F227" s="49" t="str">
        <f>IFERROR(VLOOKUP(TRIM(D227), Collection!$B$2:$D$1001, 3, FALSE), "")</f>
        <v>121,000 AED</v>
      </c>
      <c r="G227" s="49">
        <f t="shared" si="6"/>
        <v>121000</v>
      </c>
      <c r="H227" s="46" t="s">
        <v>192</v>
      </c>
      <c r="I227" s="46">
        <v>103630617</v>
      </c>
      <c r="J227" s="46" t="s">
        <v>193</v>
      </c>
      <c r="K227" s="46" t="s">
        <v>201</v>
      </c>
      <c r="L227" s="46" t="s">
        <v>1128</v>
      </c>
      <c r="M227" s="46" t="b">
        <f t="shared" si="7"/>
        <v>0</v>
      </c>
    </row>
    <row r="228" spans="1:13" ht="31.2" x14ac:dyDescent="0.3">
      <c r="A228" s="46" t="s">
        <v>189</v>
      </c>
      <c r="B228" s="46" t="s">
        <v>1128</v>
      </c>
      <c r="C228" s="46" t="s">
        <v>612</v>
      </c>
      <c r="D228" s="46" t="s">
        <v>200</v>
      </c>
      <c r="E228" s="46" t="str">
        <f>IFERROR(VLOOKUP(TRIM(D228), Collection!$B$2:$D$1001, 2, FALSE), "")</f>
        <v>Historiques 222</v>
      </c>
      <c r="F228" s="49" t="str">
        <f>IFERROR(VLOOKUP(TRIM(D228), Collection!$B$2:$D$1001, 3, FALSE), "")</f>
        <v>121,000 AED</v>
      </c>
      <c r="G228" s="49">
        <f t="shared" si="6"/>
        <v>121000</v>
      </c>
      <c r="H228" s="46" t="s">
        <v>192</v>
      </c>
      <c r="I228" s="46">
        <v>92407337</v>
      </c>
      <c r="J228" s="46" t="s">
        <v>193</v>
      </c>
      <c r="K228" s="46" t="s">
        <v>201</v>
      </c>
      <c r="L228" s="46" t="s">
        <v>1128</v>
      </c>
      <c r="M228" s="46" t="b">
        <f t="shared" si="7"/>
        <v>0</v>
      </c>
    </row>
    <row r="229" spans="1:13" ht="31.2" x14ac:dyDescent="0.3">
      <c r="A229" s="46" t="s">
        <v>189</v>
      </c>
      <c r="B229" s="46" t="s">
        <v>1128</v>
      </c>
      <c r="C229" s="46" t="s">
        <v>612</v>
      </c>
      <c r="D229" s="46" t="s">
        <v>200</v>
      </c>
      <c r="E229" s="46" t="str">
        <f>IFERROR(VLOOKUP(TRIM(D229), Collection!$B$2:$D$1001, 2, FALSE), "")</f>
        <v>Historiques 222</v>
      </c>
      <c r="F229" s="49" t="str">
        <f>IFERROR(VLOOKUP(TRIM(D229), Collection!$B$2:$D$1001, 3, FALSE), "")</f>
        <v>121,000 AED</v>
      </c>
      <c r="G229" s="49">
        <f t="shared" si="6"/>
        <v>121000</v>
      </c>
      <c r="H229" s="46" t="s">
        <v>192</v>
      </c>
      <c r="I229" s="46">
        <v>92422856</v>
      </c>
      <c r="J229" s="46" t="s">
        <v>193</v>
      </c>
      <c r="K229" s="46" t="s">
        <v>201</v>
      </c>
      <c r="L229" s="46" t="s">
        <v>1128</v>
      </c>
      <c r="M229" s="46" t="b">
        <f t="shared" si="7"/>
        <v>0</v>
      </c>
    </row>
    <row r="230" spans="1:13" ht="31.2" x14ac:dyDescent="0.3">
      <c r="A230" s="46" t="s">
        <v>189</v>
      </c>
      <c r="B230" s="46" t="s">
        <v>1128</v>
      </c>
      <c r="C230" s="46" t="s">
        <v>612</v>
      </c>
      <c r="D230" s="46" t="s">
        <v>200</v>
      </c>
      <c r="E230" s="46" t="str">
        <f>IFERROR(VLOOKUP(TRIM(D230), Collection!$B$2:$D$1001, 2, FALSE), "")</f>
        <v>Historiques 222</v>
      </c>
      <c r="F230" s="49" t="str">
        <f>IFERROR(VLOOKUP(TRIM(D230), Collection!$B$2:$D$1001, 3, FALSE), "")</f>
        <v>121,000 AED</v>
      </c>
      <c r="G230" s="49">
        <f t="shared" si="6"/>
        <v>121000</v>
      </c>
      <c r="H230" s="46" t="s">
        <v>192</v>
      </c>
      <c r="I230" s="46">
        <v>93832355</v>
      </c>
      <c r="J230" s="46" t="s">
        <v>193</v>
      </c>
      <c r="K230" s="46" t="s">
        <v>194</v>
      </c>
      <c r="L230" s="46" t="s">
        <v>1128</v>
      </c>
      <c r="M230" s="46" t="b">
        <f t="shared" si="7"/>
        <v>0</v>
      </c>
    </row>
    <row r="231" spans="1:13" ht="31.2" x14ac:dyDescent="0.3">
      <c r="A231" s="46" t="s">
        <v>189</v>
      </c>
      <c r="B231" s="46" t="s">
        <v>1128</v>
      </c>
      <c r="C231" s="46" t="s">
        <v>612</v>
      </c>
      <c r="D231" s="46" t="s">
        <v>200</v>
      </c>
      <c r="E231" s="46" t="str">
        <f>IFERROR(VLOOKUP(TRIM(D231), Collection!$B$2:$D$1001, 2, FALSE), "")</f>
        <v>Historiques 222</v>
      </c>
      <c r="F231" s="49" t="str">
        <f>IFERROR(VLOOKUP(TRIM(D231), Collection!$B$2:$D$1001, 3, FALSE), "")</f>
        <v>121,000 AED</v>
      </c>
      <c r="G231" s="49">
        <f t="shared" si="6"/>
        <v>121000</v>
      </c>
      <c r="H231" s="46" t="s">
        <v>192</v>
      </c>
      <c r="I231" s="46">
        <v>103632699</v>
      </c>
      <c r="J231" s="46" t="s">
        <v>193</v>
      </c>
      <c r="K231" s="46" t="s">
        <v>201</v>
      </c>
      <c r="L231" s="46" t="s">
        <v>1128</v>
      </c>
      <c r="M231" s="46" t="b">
        <f t="shared" si="7"/>
        <v>0</v>
      </c>
    </row>
    <row r="232" spans="1:13" ht="31.2" x14ac:dyDescent="0.3">
      <c r="A232" s="46" t="s">
        <v>189</v>
      </c>
      <c r="B232" s="46" t="s">
        <v>1128</v>
      </c>
      <c r="C232" s="46" t="s">
        <v>612</v>
      </c>
      <c r="D232" s="46" t="s">
        <v>200</v>
      </c>
      <c r="E232" s="46" t="str">
        <f>IFERROR(VLOOKUP(TRIM(D232), Collection!$B$2:$D$1001, 2, FALSE), "")</f>
        <v>Historiques 222</v>
      </c>
      <c r="F232" s="49" t="str">
        <f>IFERROR(VLOOKUP(TRIM(D232), Collection!$B$2:$D$1001, 3, FALSE), "")</f>
        <v>121,000 AED</v>
      </c>
      <c r="G232" s="49">
        <f t="shared" si="6"/>
        <v>121000</v>
      </c>
      <c r="H232" s="46" t="s">
        <v>192</v>
      </c>
      <c r="I232" s="46">
        <v>103631041</v>
      </c>
      <c r="J232" s="46" t="s">
        <v>193</v>
      </c>
      <c r="K232" s="46" t="s">
        <v>204</v>
      </c>
      <c r="L232" s="46" t="s">
        <v>1233</v>
      </c>
      <c r="M232" s="46" t="b">
        <f t="shared" si="7"/>
        <v>0</v>
      </c>
    </row>
    <row r="233" spans="1:13" ht="31.2" x14ac:dyDescent="0.3">
      <c r="A233" s="46" t="s">
        <v>264</v>
      </c>
      <c r="B233" s="46" t="s">
        <v>264</v>
      </c>
      <c r="C233" s="46" t="s">
        <v>612</v>
      </c>
      <c r="D233" s="46" t="s">
        <v>633</v>
      </c>
      <c r="E233" s="46" t="str">
        <f>IFERROR(VLOOKUP(TRIM(D233), Collection!$B$2:$D$1001, 2, FALSE), "")</f>
        <v>Overseas self-winding</v>
      </c>
      <c r="F233" s="49" t="str">
        <f>IFERROR(VLOOKUP(TRIM(D233), Collection!$B$2:$D$1001, 3, FALSE), "")</f>
        <v>94,500 AED</v>
      </c>
      <c r="G233" s="49">
        <f t="shared" si="6"/>
        <v>94500</v>
      </c>
      <c r="H233" s="46" t="s">
        <v>192</v>
      </c>
      <c r="I233" s="46">
        <v>103633773</v>
      </c>
      <c r="J233" s="46" t="s">
        <v>193</v>
      </c>
      <c r="K233" s="46" t="s">
        <v>201</v>
      </c>
      <c r="L233" s="46" t="s">
        <v>1128</v>
      </c>
      <c r="M233" s="46" t="b">
        <f t="shared" si="7"/>
        <v>0</v>
      </c>
    </row>
    <row r="234" spans="1:13" ht="31.2" x14ac:dyDescent="0.3">
      <c r="A234" s="46" t="s">
        <v>189</v>
      </c>
      <c r="B234" s="46" t="s">
        <v>1128</v>
      </c>
      <c r="C234" s="46" t="s">
        <v>612</v>
      </c>
      <c r="D234" s="46" t="s">
        <v>200</v>
      </c>
      <c r="E234" s="46" t="str">
        <f>IFERROR(VLOOKUP(TRIM(D234), Collection!$B$2:$D$1001, 2, FALSE), "")</f>
        <v>Historiques 222</v>
      </c>
      <c r="F234" s="49" t="str">
        <f>IFERROR(VLOOKUP(TRIM(D234), Collection!$B$2:$D$1001, 3, FALSE), "")</f>
        <v>121,000 AED</v>
      </c>
      <c r="G234" s="49">
        <f t="shared" si="6"/>
        <v>121000</v>
      </c>
      <c r="H234" s="46" t="s">
        <v>192</v>
      </c>
      <c r="I234" s="46">
        <v>92398362</v>
      </c>
      <c r="J234" s="46" t="s">
        <v>193</v>
      </c>
      <c r="K234" s="46" t="s">
        <v>201</v>
      </c>
      <c r="L234" s="46" t="s">
        <v>1128</v>
      </c>
      <c r="M234" s="46" t="b">
        <f t="shared" si="7"/>
        <v>0</v>
      </c>
    </row>
    <row r="235" spans="1:13" ht="31.2" x14ac:dyDescent="0.3">
      <c r="A235" s="46" t="s">
        <v>189</v>
      </c>
      <c r="B235" s="46" t="s">
        <v>1128</v>
      </c>
      <c r="C235" s="46" t="s">
        <v>612</v>
      </c>
      <c r="D235" s="46" t="s">
        <v>200</v>
      </c>
      <c r="E235" s="46" t="str">
        <f>IFERROR(VLOOKUP(TRIM(D235), Collection!$B$2:$D$1001, 2, FALSE), "")</f>
        <v>Historiques 222</v>
      </c>
      <c r="F235" s="49" t="str">
        <f>IFERROR(VLOOKUP(TRIM(D235), Collection!$B$2:$D$1001, 3, FALSE), "")</f>
        <v>121,000 AED</v>
      </c>
      <c r="G235" s="49">
        <f t="shared" si="6"/>
        <v>121000</v>
      </c>
      <c r="H235" s="46" t="s">
        <v>192</v>
      </c>
      <c r="I235" s="46">
        <v>103616758</v>
      </c>
      <c r="J235" s="46" t="s">
        <v>193</v>
      </c>
      <c r="K235" s="46" t="s">
        <v>201</v>
      </c>
      <c r="L235" s="46" t="s">
        <v>1128</v>
      </c>
      <c r="M235" s="46" t="b">
        <f t="shared" si="7"/>
        <v>0</v>
      </c>
    </row>
    <row r="236" spans="1:13" ht="31.2" x14ac:dyDescent="0.3">
      <c r="A236" s="46" t="s">
        <v>189</v>
      </c>
      <c r="B236" s="46" t="s">
        <v>1128</v>
      </c>
      <c r="C236" s="46" t="s">
        <v>612</v>
      </c>
      <c r="D236" s="46" t="s">
        <v>200</v>
      </c>
      <c r="E236" s="46" t="str">
        <f>IFERROR(VLOOKUP(TRIM(D236), Collection!$B$2:$D$1001, 2, FALSE), "")</f>
        <v>Historiques 222</v>
      </c>
      <c r="F236" s="49" t="str">
        <f>IFERROR(VLOOKUP(TRIM(D236), Collection!$B$2:$D$1001, 3, FALSE), "")</f>
        <v>121,000 AED</v>
      </c>
      <c r="G236" s="49">
        <f t="shared" si="6"/>
        <v>121000</v>
      </c>
      <c r="H236" s="46" t="s">
        <v>192</v>
      </c>
      <c r="I236" s="46">
        <v>98742444</v>
      </c>
      <c r="J236" s="46" t="s">
        <v>193</v>
      </c>
      <c r="K236" s="46" t="s">
        <v>194</v>
      </c>
      <c r="L236" s="46" t="s">
        <v>1128</v>
      </c>
      <c r="M236" s="46" t="b">
        <f t="shared" si="7"/>
        <v>0</v>
      </c>
    </row>
    <row r="237" spans="1:13" ht="31.2" x14ac:dyDescent="0.3">
      <c r="A237" s="46" t="s">
        <v>189</v>
      </c>
      <c r="B237" s="46" t="s">
        <v>1128</v>
      </c>
      <c r="C237" s="46" t="s">
        <v>612</v>
      </c>
      <c r="D237" s="46" t="s">
        <v>200</v>
      </c>
      <c r="E237" s="46" t="str">
        <f>IFERROR(VLOOKUP(TRIM(D237), Collection!$B$2:$D$1001, 2, FALSE), "")</f>
        <v>Historiques 222</v>
      </c>
      <c r="F237" s="49" t="str">
        <f>IFERROR(VLOOKUP(TRIM(D237), Collection!$B$2:$D$1001, 3, FALSE), "")</f>
        <v>121,000 AED</v>
      </c>
      <c r="G237" s="49">
        <f t="shared" si="6"/>
        <v>121000</v>
      </c>
      <c r="H237" s="46" t="s">
        <v>192</v>
      </c>
      <c r="I237" s="46">
        <v>103629013</v>
      </c>
      <c r="J237" s="46" t="s">
        <v>193</v>
      </c>
      <c r="K237" s="46" t="s">
        <v>204</v>
      </c>
      <c r="L237" s="46" t="s">
        <v>1234</v>
      </c>
      <c r="M237" s="46" t="b">
        <f t="shared" si="7"/>
        <v>0</v>
      </c>
    </row>
    <row r="238" spans="1:13" ht="31.2" x14ac:dyDescent="0.3">
      <c r="A238" s="46" t="s">
        <v>189</v>
      </c>
      <c r="B238" s="46" t="s">
        <v>1128</v>
      </c>
      <c r="C238" s="46" t="s">
        <v>612</v>
      </c>
      <c r="D238" s="46" t="s">
        <v>200</v>
      </c>
      <c r="E238" s="46" t="str">
        <f>IFERROR(VLOOKUP(TRIM(D238), Collection!$B$2:$D$1001, 2, FALSE), "")</f>
        <v>Historiques 222</v>
      </c>
      <c r="F238" s="49" t="str">
        <f>IFERROR(VLOOKUP(TRIM(D238), Collection!$B$2:$D$1001, 3, FALSE), "")</f>
        <v>121,000 AED</v>
      </c>
      <c r="G238" s="49">
        <f t="shared" si="6"/>
        <v>121000</v>
      </c>
      <c r="H238" s="46" t="s">
        <v>192</v>
      </c>
      <c r="I238" s="46">
        <v>92408025</v>
      </c>
      <c r="J238" s="46" t="s">
        <v>193</v>
      </c>
      <c r="K238" s="46" t="s">
        <v>194</v>
      </c>
      <c r="L238" s="46" t="s">
        <v>1128</v>
      </c>
      <c r="M238" s="46" t="b">
        <f t="shared" si="7"/>
        <v>0</v>
      </c>
    </row>
    <row r="239" spans="1:13" ht="31.2" x14ac:dyDescent="0.3">
      <c r="A239" s="46" t="s">
        <v>189</v>
      </c>
      <c r="B239" s="46" t="s">
        <v>1128</v>
      </c>
      <c r="C239" s="46" t="s">
        <v>612</v>
      </c>
      <c r="D239" s="46" t="s">
        <v>200</v>
      </c>
      <c r="E239" s="46" t="str">
        <f>IFERROR(VLOOKUP(TRIM(D239), Collection!$B$2:$D$1001, 2, FALSE), "")</f>
        <v>Historiques 222</v>
      </c>
      <c r="F239" s="49" t="str">
        <f>IFERROR(VLOOKUP(TRIM(D239), Collection!$B$2:$D$1001, 3, FALSE), "")</f>
        <v>121,000 AED</v>
      </c>
      <c r="G239" s="49">
        <f t="shared" si="6"/>
        <v>121000</v>
      </c>
      <c r="H239" s="46" t="s">
        <v>192</v>
      </c>
      <c r="I239" s="46">
        <v>103616558</v>
      </c>
      <c r="J239" s="46" t="s">
        <v>193</v>
      </c>
      <c r="K239" s="46" t="s">
        <v>194</v>
      </c>
      <c r="L239" s="46" t="s">
        <v>1128</v>
      </c>
      <c r="M239" s="46" t="b">
        <f t="shared" si="7"/>
        <v>0</v>
      </c>
    </row>
    <row r="240" spans="1:13" ht="31.2" x14ac:dyDescent="0.3">
      <c r="A240" s="46" t="s">
        <v>189</v>
      </c>
      <c r="B240" s="46" t="s">
        <v>1128</v>
      </c>
      <c r="C240" s="46" t="s">
        <v>612</v>
      </c>
      <c r="D240" s="46" t="s">
        <v>200</v>
      </c>
      <c r="E240" s="46" t="str">
        <f>IFERROR(VLOOKUP(TRIM(D240), Collection!$B$2:$D$1001, 2, FALSE), "")</f>
        <v>Historiques 222</v>
      </c>
      <c r="F240" s="49" t="str">
        <f>IFERROR(VLOOKUP(TRIM(D240), Collection!$B$2:$D$1001, 3, FALSE), "")</f>
        <v>121,000 AED</v>
      </c>
      <c r="G240" s="49">
        <f t="shared" si="6"/>
        <v>121000</v>
      </c>
      <c r="H240" s="46" t="s">
        <v>192</v>
      </c>
      <c r="I240" s="46">
        <v>92397362</v>
      </c>
      <c r="J240" s="46" t="s">
        <v>193</v>
      </c>
      <c r="K240" s="46" t="s">
        <v>194</v>
      </c>
      <c r="L240" s="46" t="s">
        <v>1128</v>
      </c>
      <c r="M240" s="46" t="b">
        <f t="shared" si="7"/>
        <v>0</v>
      </c>
    </row>
    <row r="241" spans="1:13" ht="31.2" x14ac:dyDescent="0.3">
      <c r="A241" s="46" t="s">
        <v>189</v>
      </c>
      <c r="B241" s="46" t="s">
        <v>1128</v>
      </c>
      <c r="C241" s="46" t="s">
        <v>612</v>
      </c>
      <c r="D241" s="46" t="s">
        <v>200</v>
      </c>
      <c r="E241" s="46" t="str">
        <f>IFERROR(VLOOKUP(TRIM(D241), Collection!$B$2:$D$1001, 2, FALSE), "")</f>
        <v>Historiques 222</v>
      </c>
      <c r="F241" s="49" t="str">
        <f>IFERROR(VLOOKUP(TRIM(D241), Collection!$B$2:$D$1001, 3, FALSE), "")</f>
        <v>121,000 AED</v>
      </c>
      <c r="G241" s="49">
        <f t="shared" si="6"/>
        <v>121000</v>
      </c>
      <c r="H241" s="46" t="s">
        <v>192</v>
      </c>
      <c r="I241" s="46">
        <v>103591723</v>
      </c>
      <c r="J241" s="46" t="s">
        <v>193</v>
      </c>
      <c r="K241" s="46" t="s">
        <v>194</v>
      </c>
      <c r="L241" s="46" t="s">
        <v>1128</v>
      </c>
      <c r="M241" s="46" t="b">
        <f t="shared" si="7"/>
        <v>0</v>
      </c>
    </row>
    <row r="242" spans="1:13" ht="31.2" x14ac:dyDescent="0.3">
      <c r="A242" s="46" t="s">
        <v>189</v>
      </c>
      <c r="B242" s="46" t="s">
        <v>1128</v>
      </c>
      <c r="C242" s="46" t="s">
        <v>612</v>
      </c>
      <c r="D242" s="46" t="s">
        <v>200</v>
      </c>
      <c r="E242" s="46" t="str">
        <f>IFERROR(VLOOKUP(TRIM(D242), Collection!$B$2:$D$1001, 2, FALSE), "")</f>
        <v>Historiques 222</v>
      </c>
      <c r="F242" s="49" t="str">
        <f>IFERROR(VLOOKUP(TRIM(D242), Collection!$B$2:$D$1001, 3, FALSE), "")</f>
        <v>121,000 AED</v>
      </c>
      <c r="G242" s="49">
        <f t="shared" si="6"/>
        <v>121000</v>
      </c>
      <c r="H242" s="46" t="s">
        <v>192</v>
      </c>
      <c r="I242" s="46">
        <v>92401316</v>
      </c>
      <c r="J242" s="46" t="s">
        <v>193</v>
      </c>
      <c r="K242" s="46" t="s">
        <v>194</v>
      </c>
      <c r="L242" s="46" t="s">
        <v>1128</v>
      </c>
      <c r="M242" s="46" t="b">
        <f t="shared" si="7"/>
        <v>0</v>
      </c>
    </row>
    <row r="243" spans="1:13" ht="31.2" x14ac:dyDescent="0.3">
      <c r="A243" s="46" t="s">
        <v>189</v>
      </c>
      <c r="B243" s="46" t="s">
        <v>1128</v>
      </c>
      <c r="C243" s="46" t="s">
        <v>612</v>
      </c>
      <c r="D243" s="46" t="s">
        <v>200</v>
      </c>
      <c r="E243" s="46" t="str">
        <f>IFERROR(VLOOKUP(TRIM(D243), Collection!$B$2:$D$1001, 2, FALSE), "")</f>
        <v>Historiques 222</v>
      </c>
      <c r="F243" s="49" t="str">
        <f>IFERROR(VLOOKUP(TRIM(D243), Collection!$B$2:$D$1001, 3, FALSE), "")</f>
        <v>121,000 AED</v>
      </c>
      <c r="G243" s="49">
        <f t="shared" si="6"/>
        <v>121000</v>
      </c>
      <c r="H243" s="46" t="s">
        <v>192</v>
      </c>
      <c r="I243" s="46">
        <v>103617256</v>
      </c>
      <c r="J243" s="46" t="s">
        <v>193</v>
      </c>
      <c r="K243" s="46" t="s">
        <v>194</v>
      </c>
      <c r="L243" s="46" t="s">
        <v>1128</v>
      </c>
      <c r="M243" s="46" t="b">
        <f t="shared" si="7"/>
        <v>0</v>
      </c>
    </row>
    <row r="244" spans="1:13" ht="31.2" x14ac:dyDescent="0.3">
      <c r="A244" s="46" t="s">
        <v>189</v>
      </c>
      <c r="B244" s="46" t="s">
        <v>1128</v>
      </c>
      <c r="C244" s="46" t="s">
        <v>612</v>
      </c>
      <c r="D244" s="46" t="s">
        <v>200</v>
      </c>
      <c r="E244" s="46" t="str">
        <f>IFERROR(VLOOKUP(TRIM(D244), Collection!$B$2:$D$1001, 2, FALSE), "")</f>
        <v>Historiques 222</v>
      </c>
      <c r="F244" s="49" t="str">
        <f>IFERROR(VLOOKUP(TRIM(D244), Collection!$B$2:$D$1001, 3, FALSE), "")</f>
        <v>121,000 AED</v>
      </c>
      <c r="G244" s="49">
        <f t="shared" si="6"/>
        <v>121000</v>
      </c>
      <c r="H244" s="46" t="s">
        <v>192</v>
      </c>
      <c r="I244" s="46">
        <v>103616653</v>
      </c>
      <c r="J244" s="46" t="s">
        <v>193</v>
      </c>
      <c r="K244" s="46" t="s">
        <v>194</v>
      </c>
      <c r="L244" s="46" t="s">
        <v>1128</v>
      </c>
      <c r="M244" s="46" t="b">
        <f t="shared" si="7"/>
        <v>0</v>
      </c>
    </row>
    <row r="245" spans="1:13" ht="31.2" x14ac:dyDescent="0.3">
      <c r="A245" s="46" t="s">
        <v>189</v>
      </c>
      <c r="B245" s="46" t="s">
        <v>1128</v>
      </c>
      <c r="C245" s="46" t="s">
        <v>612</v>
      </c>
      <c r="D245" s="46" t="s">
        <v>200</v>
      </c>
      <c r="E245" s="46" t="str">
        <f>IFERROR(VLOOKUP(TRIM(D245), Collection!$B$2:$D$1001, 2, FALSE), "")</f>
        <v>Historiques 222</v>
      </c>
      <c r="F245" s="49" t="str">
        <f>IFERROR(VLOOKUP(TRIM(D245), Collection!$B$2:$D$1001, 3, FALSE), "")</f>
        <v>121,000 AED</v>
      </c>
      <c r="G245" s="49">
        <f t="shared" si="6"/>
        <v>121000</v>
      </c>
      <c r="H245" s="46" t="s">
        <v>192</v>
      </c>
      <c r="I245" s="46">
        <v>103620663</v>
      </c>
      <c r="J245" s="46" t="s">
        <v>193</v>
      </c>
      <c r="K245" s="46" t="s">
        <v>194</v>
      </c>
      <c r="L245" s="46" t="s">
        <v>1128</v>
      </c>
      <c r="M245" s="46" t="b">
        <f t="shared" si="7"/>
        <v>0</v>
      </c>
    </row>
    <row r="246" spans="1:13" ht="31.2" x14ac:dyDescent="0.3">
      <c r="A246" s="46" t="s">
        <v>189</v>
      </c>
      <c r="B246" s="46" t="s">
        <v>1128</v>
      </c>
      <c r="C246" s="46" t="s">
        <v>612</v>
      </c>
      <c r="D246" s="46" t="s">
        <v>200</v>
      </c>
      <c r="E246" s="46" t="str">
        <f>IFERROR(VLOOKUP(TRIM(D246), Collection!$B$2:$D$1001, 2, FALSE), "")</f>
        <v>Historiques 222</v>
      </c>
      <c r="F246" s="49" t="str">
        <f>IFERROR(VLOOKUP(TRIM(D246), Collection!$B$2:$D$1001, 3, FALSE), "")</f>
        <v>121,000 AED</v>
      </c>
      <c r="G246" s="49">
        <f t="shared" si="6"/>
        <v>121000</v>
      </c>
      <c r="H246" s="46" t="s">
        <v>192</v>
      </c>
      <c r="I246" s="46">
        <v>103621182</v>
      </c>
      <c r="J246" s="46" t="s">
        <v>193</v>
      </c>
      <c r="K246" s="46" t="s">
        <v>194</v>
      </c>
      <c r="L246" s="46" t="s">
        <v>1128</v>
      </c>
      <c r="M246" s="46" t="b">
        <f t="shared" si="7"/>
        <v>0</v>
      </c>
    </row>
    <row r="247" spans="1:13" ht="31.2" x14ac:dyDescent="0.3">
      <c r="A247" s="46" t="s">
        <v>189</v>
      </c>
      <c r="B247" s="46" t="s">
        <v>1128</v>
      </c>
      <c r="C247" s="46" t="s">
        <v>612</v>
      </c>
      <c r="D247" s="46" t="s">
        <v>200</v>
      </c>
      <c r="E247" s="46" t="str">
        <f>IFERROR(VLOOKUP(TRIM(D247), Collection!$B$2:$D$1001, 2, FALSE), "")</f>
        <v>Historiques 222</v>
      </c>
      <c r="F247" s="49" t="str">
        <f>IFERROR(VLOOKUP(TRIM(D247), Collection!$B$2:$D$1001, 3, FALSE), "")</f>
        <v>121,000 AED</v>
      </c>
      <c r="G247" s="49">
        <f t="shared" si="6"/>
        <v>121000</v>
      </c>
      <c r="H247" s="46" t="s">
        <v>192</v>
      </c>
      <c r="I247" s="46">
        <v>103620632</v>
      </c>
      <c r="J247" s="46" t="s">
        <v>193</v>
      </c>
      <c r="K247" s="46" t="s">
        <v>194</v>
      </c>
      <c r="L247" s="46" t="s">
        <v>1128</v>
      </c>
      <c r="M247" s="46" t="b">
        <f t="shared" si="7"/>
        <v>0</v>
      </c>
    </row>
    <row r="248" spans="1:13" ht="31.2" x14ac:dyDescent="0.3">
      <c r="A248" s="46" t="s">
        <v>189</v>
      </c>
      <c r="B248" s="46" t="s">
        <v>1128</v>
      </c>
      <c r="C248" s="46" t="s">
        <v>612</v>
      </c>
      <c r="D248" s="46" t="s">
        <v>200</v>
      </c>
      <c r="E248" s="46" t="str">
        <f>IFERROR(VLOOKUP(TRIM(D248), Collection!$B$2:$D$1001, 2, FALSE), "")</f>
        <v>Historiques 222</v>
      </c>
      <c r="F248" s="49" t="str">
        <f>IFERROR(VLOOKUP(TRIM(D248), Collection!$B$2:$D$1001, 3, FALSE), "")</f>
        <v>121,000 AED</v>
      </c>
      <c r="G248" s="49">
        <f t="shared" si="6"/>
        <v>121000</v>
      </c>
      <c r="H248" s="46" t="s">
        <v>192</v>
      </c>
      <c r="I248" s="46">
        <v>92397707</v>
      </c>
      <c r="J248" s="46" t="s">
        <v>193</v>
      </c>
      <c r="K248" s="46" t="s">
        <v>194</v>
      </c>
      <c r="L248" s="46" t="s">
        <v>1128</v>
      </c>
      <c r="M248" s="46" t="b">
        <f t="shared" si="7"/>
        <v>0</v>
      </c>
    </row>
    <row r="249" spans="1:13" ht="31.2" x14ac:dyDescent="0.3">
      <c r="A249" s="46" t="s">
        <v>189</v>
      </c>
      <c r="B249" s="46" t="s">
        <v>1128</v>
      </c>
      <c r="C249" s="46" t="s">
        <v>612</v>
      </c>
      <c r="D249" s="46" t="s">
        <v>200</v>
      </c>
      <c r="E249" s="46" t="str">
        <f>IFERROR(VLOOKUP(TRIM(D249), Collection!$B$2:$D$1001, 2, FALSE), "")</f>
        <v>Historiques 222</v>
      </c>
      <c r="F249" s="49" t="str">
        <f>IFERROR(VLOOKUP(TRIM(D249), Collection!$B$2:$D$1001, 3, FALSE), "")</f>
        <v>121,000 AED</v>
      </c>
      <c r="G249" s="49">
        <f t="shared" si="6"/>
        <v>121000</v>
      </c>
      <c r="H249" s="46" t="s">
        <v>192</v>
      </c>
      <c r="I249" s="46">
        <v>92404856</v>
      </c>
      <c r="J249" s="46" t="s">
        <v>193</v>
      </c>
      <c r="K249" s="46" t="s">
        <v>194</v>
      </c>
      <c r="L249" s="46" t="s">
        <v>1128</v>
      </c>
      <c r="M249" s="46" t="b">
        <f t="shared" si="7"/>
        <v>0</v>
      </c>
    </row>
    <row r="250" spans="1:13" ht="31.2" x14ac:dyDescent="0.3">
      <c r="A250" s="46" t="s">
        <v>189</v>
      </c>
      <c r="B250" s="46" t="s">
        <v>1128</v>
      </c>
      <c r="C250" s="46" t="s">
        <v>651</v>
      </c>
      <c r="D250" s="46" t="s">
        <v>200</v>
      </c>
      <c r="E250" s="46" t="str">
        <f>IFERROR(VLOOKUP(TRIM(D250), Collection!$B$2:$D$1001, 2, FALSE), "")</f>
        <v>Historiques 222</v>
      </c>
      <c r="F250" s="49" t="str">
        <f>IFERROR(VLOOKUP(TRIM(D250), Collection!$B$2:$D$1001, 3, FALSE), "")</f>
        <v>121,000 AED</v>
      </c>
      <c r="G250" s="49">
        <f t="shared" si="6"/>
        <v>121000</v>
      </c>
      <c r="H250" s="46" t="s">
        <v>192</v>
      </c>
      <c r="I250" s="46">
        <v>103615698</v>
      </c>
      <c r="J250" s="46" t="s">
        <v>193</v>
      </c>
      <c r="K250" s="46" t="s">
        <v>201</v>
      </c>
      <c r="L250" s="46" t="s">
        <v>1235</v>
      </c>
      <c r="M250" s="46" t="b">
        <f t="shared" si="7"/>
        <v>0</v>
      </c>
    </row>
    <row r="251" spans="1:13" ht="31.2" x14ac:dyDescent="0.3">
      <c r="A251" s="46" t="s">
        <v>189</v>
      </c>
      <c r="B251" s="46" t="s">
        <v>1128</v>
      </c>
      <c r="C251" s="46" t="s">
        <v>651</v>
      </c>
      <c r="D251" s="46" t="s">
        <v>200</v>
      </c>
      <c r="E251" s="46" t="str">
        <f>IFERROR(VLOOKUP(TRIM(D251), Collection!$B$2:$D$1001, 2, FALSE), "")</f>
        <v>Historiques 222</v>
      </c>
      <c r="F251" s="49" t="str">
        <f>IFERROR(VLOOKUP(TRIM(D251), Collection!$B$2:$D$1001, 3, FALSE), "")</f>
        <v>121,000 AED</v>
      </c>
      <c r="G251" s="49">
        <f t="shared" si="6"/>
        <v>121000</v>
      </c>
      <c r="H251" s="46" t="s">
        <v>192</v>
      </c>
      <c r="I251" s="46">
        <v>90999799</v>
      </c>
      <c r="J251" s="46" t="s">
        <v>248</v>
      </c>
      <c r="K251" s="46" t="s">
        <v>204</v>
      </c>
      <c r="L251" s="46" t="s">
        <v>1236</v>
      </c>
      <c r="M251" s="46" t="b">
        <f t="shared" si="7"/>
        <v>0</v>
      </c>
    </row>
    <row r="252" spans="1:13" ht="62.4" x14ac:dyDescent="0.3">
      <c r="A252" s="46" t="s">
        <v>189</v>
      </c>
      <c r="B252" s="46" t="s">
        <v>1128</v>
      </c>
      <c r="C252" s="46" t="s">
        <v>651</v>
      </c>
      <c r="D252" s="46" t="s">
        <v>200</v>
      </c>
      <c r="E252" s="46" t="str">
        <f>IFERROR(VLOOKUP(TRIM(D252), Collection!$B$2:$D$1001, 2, FALSE), "")</f>
        <v>Historiques 222</v>
      </c>
      <c r="F252" s="49" t="str">
        <f>IFERROR(VLOOKUP(TRIM(D252), Collection!$B$2:$D$1001, 3, FALSE), "")</f>
        <v>121,000 AED</v>
      </c>
      <c r="G252" s="49">
        <f t="shared" si="6"/>
        <v>121000</v>
      </c>
      <c r="H252" s="46" t="s">
        <v>192</v>
      </c>
      <c r="I252" s="46">
        <v>103437674</v>
      </c>
      <c r="J252" s="46" t="s">
        <v>193</v>
      </c>
      <c r="K252" s="46" t="s">
        <v>194</v>
      </c>
      <c r="L252" s="46" t="s">
        <v>1237</v>
      </c>
      <c r="M252" s="46" t="b">
        <f t="shared" si="7"/>
        <v>0</v>
      </c>
    </row>
    <row r="253" spans="1:13" ht="31.2" x14ac:dyDescent="0.3">
      <c r="A253" s="46" t="s">
        <v>189</v>
      </c>
      <c r="B253" s="46" t="s">
        <v>1128</v>
      </c>
      <c r="C253" s="46" t="s">
        <v>651</v>
      </c>
      <c r="D253" s="46" t="s">
        <v>200</v>
      </c>
      <c r="E253" s="46" t="str">
        <f>IFERROR(VLOOKUP(TRIM(D253), Collection!$B$2:$D$1001, 2, FALSE), "")</f>
        <v>Historiques 222</v>
      </c>
      <c r="F253" s="49" t="str">
        <f>IFERROR(VLOOKUP(TRIM(D253), Collection!$B$2:$D$1001, 3, FALSE), "")</f>
        <v>121,000 AED</v>
      </c>
      <c r="G253" s="49">
        <f t="shared" si="6"/>
        <v>121000</v>
      </c>
      <c r="H253" s="46" t="s">
        <v>192</v>
      </c>
      <c r="I253" s="46">
        <v>103531883</v>
      </c>
      <c r="J253" s="46" t="s">
        <v>193</v>
      </c>
      <c r="K253" s="46" t="s">
        <v>194</v>
      </c>
      <c r="L253" s="46" t="s">
        <v>1238</v>
      </c>
      <c r="M253" s="46" t="b">
        <f t="shared" si="7"/>
        <v>0</v>
      </c>
    </row>
    <row r="254" spans="1:13" ht="31.2" x14ac:dyDescent="0.3">
      <c r="A254" s="46" t="s">
        <v>189</v>
      </c>
      <c r="B254" s="46" t="s">
        <v>1128</v>
      </c>
      <c r="C254" s="46" t="s">
        <v>651</v>
      </c>
      <c r="D254" s="46" t="s">
        <v>200</v>
      </c>
      <c r="E254" s="46" t="str">
        <f>IFERROR(VLOOKUP(TRIM(D254), Collection!$B$2:$D$1001, 2, FALSE), "")</f>
        <v>Historiques 222</v>
      </c>
      <c r="F254" s="49" t="str">
        <f>IFERROR(VLOOKUP(TRIM(D254), Collection!$B$2:$D$1001, 3, FALSE), "")</f>
        <v>121,000 AED</v>
      </c>
      <c r="G254" s="49">
        <f t="shared" si="6"/>
        <v>121000</v>
      </c>
      <c r="H254" s="46" t="s">
        <v>192</v>
      </c>
      <c r="I254" s="46">
        <v>101466987</v>
      </c>
      <c r="J254" s="46" t="s">
        <v>193</v>
      </c>
      <c r="K254" s="46" t="s">
        <v>201</v>
      </c>
      <c r="L254" s="46" t="s">
        <v>1128</v>
      </c>
      <c r="M254" s="46" t="b">
        <f t="shared" si="7"/>
        <v>0</v>
      </c>
    </row>
    <row r="255" spans="1:13" ht="31.2" x14ac:dyDescent="0.3">
      <c r="A255" s="46" t="s">
        <v>189</v>
      </c>
      <c r="B255" s="46" t="s">
        <v>1128</v>
      </c>
      <c r="C255" s="46" t="s">
        <v>651</v>
      </c>
      <c r="D255" s="46" t="s">
        <v>200</v>
      </c>
      <c r="E255" s="46" t="str">
        <f>IFERROR(VLOOKUP(TRIM(D255), Collection!$B$2:$D$1001, 2, FALSE), "")</f>
        <v>Historiques 222</v>
      </c>
      <c r="F255" s="49" t="str">
        <f>IFERROR(VLOOKUP(TRIM(D255), Collection!$B$2:$D$1001, 3, FALSE), "")</f>
        <v>121,000 AED</v>
      </c>
      <c r="G255" s="49">
        <f t="shared" si="6"/>
        <v>121000</v>
      </c>
      <c r="H255" s="46" t="s">
        <v>192</v>
      </c>
      <c r="I255" s="46">
        <v>103615908</v>
      </c>
      <c r="J255" s="46" t="s">
        <v>193</v>
      </c>
      <c r="K255" s="46" t="s">
        <v>204</v>
      </c>
      <c r="L255" s="46" t="s">
        <v>1239</v>
      </c>
      <c r="M255" s="46" t="b">
        <f t="shared" si="7"/>
        <v>0</v>
      </c>
    </row>
    <row r="256" spans="1:13" ht="31.2" x14ac:dyDescent="0.3">
      <c r="A256" s="46" t="s">
        <v>189</v>
      </c>
      <c r="B256" s="46" t="s">
        <v>1128</v>
      </c>
      <c r="C256" s="46" t="s">
        <v>651</v>
      </c>
      <c r="D256" s="46" t="s">
        <v>200</v>
      </c>
      <c r="E256" s="46" t="str">
        <f>IFERROR(VLOOKUP(TRIM(D256), Collection!$B$2:$D$1001, 2, FALSE), "")</f>
        <v>Historiques 222</v>
      </c>
      <c r="F256" s="49" t="str">
        <f>IFERROR(VLOOKUP(TRIM(D256), Collection!$B$2:$D$1001, 3, FALSE), "")</f>
        <v>121,000 AED</v>
      </c>
      <c r="G256" s="49">
        <f t="shared" si="6"/>
        <v>121000</v>
      </c>
      <c r="H256" s="46" t="s">
        <v>192</v>
      </c>
      <c r="I256" s="46">
        <v>103617827</v>
      </c>
      <c r="J256" s="46" t="s">
        <v>193</v>
      </c>
      <c r="K256" s="46" t="s">
        <v>201</v>
      </c>
      <c r="L256" s="46" t="s">
        <v>1128</v>
      </c>
      <c r="M256" s="46" t="b">
        <f t="shared" si="7"/>
        <v>0</v>
      </c>
    </row>
    <row r="257" spans="1:13" ht="31.2" x14ac:dyDescent="0.3">
      <c r="A257" s="46" t="s">
        <v>189</v>
      </c>
      <c r="B257" s="46" t="s">
        <v>1128</v>
      </c>
      <c r="C257" s="46" t="s">
        <v>651</v>
      </c>
      <c r="D257" s="46" t="s">
        <v>200</v>
      </c>
      <c r="E257" s="46" t="str">
        <f>IFERROR(VLOOKUP(TRIM(D257), Collection!$B$2:$D$1001, 2, FALSE), "")</f>
        <v>Historiques 222</v>
      </c>
      <c r="F257" s="49" t="str">
        <f>IFERROR(VLOOKUP(TRIM(D257), Collection!$B$2:$D$1001, 3, FALSE), "")</f>
        <v>121,000 AED</v>
      </c>
      <c r="G257" s="49">
        <f t="shared" si="6"/>
        <v>121000</v>
      </c>
      <c r="H257" s="46" t="s">
        <v>192</v>
      </c>
      <c r="I257" s="46">
        <v>103616136</v>
      </c>
      <c r="J257" s="46" t="s">
        <v>193</v>
      </c>
      <c r="K257" s="46" t="s">
        <v>204</v>
      </c>
      <c r="L257" s="46" t="s">
        <v>1240</v>
      </c>
      <c r="M257" s="46" t="b">
        <f t="shared" si="7"/>
        <v>0</v>
      </c>
    </row>
    <row r="258" spans="1:13" ht="31.2" x14ac:dyDescent="0.3">
      <c r="A258" s="46" t="s">
        <v>189</v>
      </c>
      <c r="B258" s="46" t="s">
        <v>1128</v>
      </c>
      <c r="C258" s="46" t="s">
        <v>651</v>
      </c>
      <c r="D258" s="46" t="s">
        <v>200</v>
      </c>
      <c r="E258" s="46" t="str">
        <f>IFERROR(VLOOKUP(TRIM(D258), Collection!$B$2:$D$1001, 2, FALSE), "")</f>
        <v>Historiques 222</v>
      </c>
      <c r="F258" s="49" t="str">
        <f>IFERROR(VLOOKUP(TRIM(D258), Collection!$B$2:$D$1001, 3, FALSE), "")</f>
        <v>121,000 AED</v>
      </c>
      <c r="G258" s="49">
        <f t="shared" ref="G258:G321" si="8">IFERROR(VALUE(SUBSTITUTE(SUBSTITUTE(F258, "Price", ""), "AED", "")), "")</f>
        <v>121000</v>
      </c>
      <c r="H258" s="46" t="s">
        <v>192</v>
      </c>
      <c r="I258" s="46">
        <v>103616580</v>
      </c>
      <c r="J258" s="46" t="s">
        <v>193</v>
      </c>
      <c r="K258" s="46" t="s">
        <v>204</v>
      </c>
      <c r="L258" s="46" t="s">
        <v>1241</v>
      </c>
      <c r="M258" s="46" t="b">
        <f t="shared" ref="M258:M321" si="9">IF(COUNTIF($R$3:$R$100, D258) &gt; 0, TRUE, FALSE)</f>
        <v>0</v>
      </c>
    </row>
    <row r="259" spans="1:13" ht="31.2" x14ac:dyDescent="0.3">
      <c r="A259" s="46" t="s">
        <v>189</v>
      </c>
      <c r="B259" s="46" t="s">
        <v>1128</v>
      </c>
      <c r="C259" s="46" t="s">
        <v>651</v>
      </c>
      <c r="D259" s="46" t="s">
        <v>200</v>
      </c>
      <c r="E259" s="46" t="str">
        <f>IFERROR(VLOOKUP(TRIM(D259), Collection!$B$2:$D$1001, 2, FALSE), "")</f>
        <v>Historiques 222</v>
      </c>
      <c r="F259" s="49" t="str">
        <f>IFERROR(VLOOKUP(TRIM(D259), Collection!$B$2:$D$1001, 3, FALSE), "")</f>
        <v>121,000 AED</v>
      </c>
      <c r="G259" s="49">
        <f t="shared" si="8"/>
        <v>121000</v>
      </c>
      <c r="H259" s="46" t="s">
        <v>192</v>
      </c>
      <c r="I259" s="46">
        <v>103615205</v>
      </c>
      <c r="J259" s="46" t="s">
        <v>193</v>
      </c>
      <c r="K259" s="46" t="s">
        <v>201</v>
      </c>
      <c r="L259" s="46" t="s">
        <v>1242</v>
      </c>
      <c r="M259" s="46" t="b">
        <f t="shared" si="9"/>
        <v>0</v>
      </c>
    </row>
    <row r="260" spans="1:13" ht="31.2" x14ac:dyDescent="0.3">
      <c r="A260" s="46" t="s">
        <v>189</v>
      </c>
      <c r="B260" s="46" t="s">
        <v>1128</v>
      </c>
      <c r="C260" s="46" t="s">
        <v>651</v>
      </c>
      <c r="D260" s="46" t="s">
        <v>200</v>
      </c>
      <c r="E260" s="46" t="str">
        <f>IFERROR(VLOOKUP(TRIM(D260), Collection!$B$2:$D$1001, 2, FALSE), "")</f>
        <v>Historiques 222</v>
      </c>
      <c r="F260" s="49" t="str">
        <f>IFERROR(VLOOKUP(TRIM(D260), Collection!$B$2:$D$1001, 3, FALSE), "")</f>
        <v>121,000 AED</v>
      </c>
      <c r="G260" s="49">
        <f t="shared" si="8"/>
        <v>121000</v>
      </c>
      <c r="H260" s="46" t="s">
        <v>192</v>
      </c>
      <c r="I260" s="46">
        <v>92409190</v>
      </c>
      <c r="J260" s="46" t="s">
        <v>193</v>
      </c>
      <c r="K260" s="46" t="s">
        <v>201</v>
      </c>
      <c r="L260" s="46" t="s">
        <v>1128</v>
      </c>
      <c r="M260" s="46" t="b">
        <f t="shared" si="9"/>
        <v>0</v>
      </c>
    </row>
    <row r="261" spans="1:13" ht="31.2" x14ac:dyDescent="0.3">
      <c r="A261" s="46" t="s">
        <v>189</v>
      </c>
      <c r="B261" s="46" t="s">
        <v>1128</v>
      </c>
      <c r="C261" s="46" t="s">
        <v>651</v>
      </c>
      <c r="D261" s="46" t="s">
        <v>200</v>
      </c>
      <c r="E261" s="46" t="str">
        <f>IFERROR(VLOOKUP(TRIM(D261), Collection!$B$2:$D$1001, 2, FALSE), "")</f>
        <v>Historiques 222</v>
      </c>
      <c r="F261" s="49" t="str">
        <f>IFERROR(VLOOKUP(TRIM(D261), Collection!$B$2:$D$1001, 3, FALSE), "")</f>
        <v>121,000 AED</v>
      </c>
      <c r="G261" s="49">
        <f t="shared" si="8"/>
        <v>121000</v>
      </c>
      <c r="H261" s="46" t="s">
        <v>192</v>
      </c>
      <c r="I261" s="46">
        <v>103616562</v>
      </c>
      <c r="J261" s="46" t="s">
        <v>193</v>
      </c>
      <c r="K261" s="46" t="s">
        <v>201</v>
      </c>
      <c r="L261" s="46" t="s">
        <v>1128</v>
      </c>
      <c r="M261" s="46" t="b">
        <f t="shared" si="9"/>
        <v>0</v>
      </c>
    </row>
    <row r="262" spans="1:13" ht="31.2" x14ac:dyDescent="0.3">
      <c r="A262" s="46" t="s">
        <v>189</v>
      </c>
      <c r="B262" s="46" t="s">
        <v>1128</v>
      </c>
      <c r="C262" s="46" t="s">
        <v>651</v>
      </c>
      <c r="D262" s="46" t="s">
        <v>200</v>
      </c>
      <c r="E262" s="46" t="str">
        <f>IFERROR(VLOOKUP(TRIM(D262), Collection!$B$2:$D$1001, 2, FALSE), "")</f>
        <v>Historiques 222</v>
      </c>
      <c r="F262" s="49" t="str">
        <f>IFERROR(VLOOKUP(TRIM(D262), Collection!$B$2:$D$1001, 3, FALSE), "")</f>
        <v>121,000 AED</v>
      </c>
      <c r="G262" s="49">
        <f t="shared" si="8"/>
        <v>121000</v>
      </c>
      <c r="H262" s="46" t="s">
        <v>192</v>
      </c>
      <c r="I262" s="46">
        <v>103616432</v>
      </c>
      <c r="J262" s="46" t="s">
        <v>193</v>
      </c>
      <c r="K262" s="46" t="s">
        <v>201</v>
      </c>
      <c r="L262" s="46" t="s">
        <v>1128</v>
      </c>
      <c r="M262" s="46" t="b">
        <f t="shared" si="9"/>
        <v>0</v>
      </c>
    </row>
    <row r="263" spans="1:13" ht="31.2" x14ac:dyDescent="0.3">
      <c r="A263" s="46" t="s">
        <v>189</v>
      </c>
      <c r="B263" s="46" t="s">
        <v>1128</v>
      </c>
      <c r="C263" s="46" t="s">
        <v>651</v>
      </c>
      <c r="D263" s="46" t="s">
        <v>200</v>
      </c>
      <c r="E263" s="46" t="str">
        <f>IFERROR(VLOOKUP(TRIM(D263), Collection!$B$2:$D$1001, 2, FALSE), "")</f>
        <v>Historiques 222</v>
      </c>
      <c r="F263" s="49" t="str">
        <f>IFERROR(VLOOKUP(TRIM(D263), Collection!$B$2:$D$1001, 3, FALSE), "")</f>
        <v>121,000 AED</v>
      </c>
      <c r="G263" s="49">
        <f t="shared" si="8"/>
        <v>121000</v>
      </c>
      <c r="H263" s="46" t="s">
        <v>192</v>
      </c>
      <c r="I263" s="46">
        <v>103620924</v>
      </c>
      <c r="J263" s="46" t="s">
        <v>193</v>
      </c>
      <c r="K263" s="46" t="s">
        <v>201</v>
      </c>
      <c r="L263" s="46" t="s">
        <v>1128</v>
      </c>
      <c r="M263" s="46" t="b">
        <f t="shared" si="9"/>
        <v>0</v>
      </c>
    </row>
    <row r="264" spans="1:13" ht="31.2" x14ac:dyDescent="0.3">
      <c r="A264" s="46" t="s">
        <v>189</v>
      </c>
      <c r="B264" s="46" t="s">
        <v>1128</v>
      </c>
      <c r="C264" s="46" t="s">
        <v>651</v>
      </c>
      <c r="D264" s="46" t="s">
        <v>200</v>
      </c>
      <c r="E264" s="46" t="str">
        <f>IFERROR(VLOOKUP(TRIM(D264), Collection!$B$2:$D$1001, 2, FALSE), "")</f>
        <v>Historiques 222</v>
      </c>
      <c r="F264" s="49" t="str">
        <f>IFERROR(VLOOKUP(TRIM(D264), Collection!$B$2:$D$1001, 3, FALSE), "")</f>
        <v>121,000 AED</v>
      </c>
      <c r="G264" s="49">
        <f t="shared" si="8"/>
        <v>121000</v>
      </c>
      <c r="H264" s="46" t="s">
        <v>192</v>
      </c>
      <c r="I264" s="46">
        <v>92404476</v>
      </c>
      <c r="J264" s="46" t="s">
        <v>248</v>
      </c>
      <c r="K264" s="46" t="s">
        <v>201</v>
      </c>
      <c r="L264" s="46" t="s">
        <v>1128</v>
      </c>
      <c r="M264" s="46" t="b">
        <f t="shared" si="9"/>
        <v>0</v>
      </c>
    </row>
    <row r="265" spans="1:13" ht="31.2" x14ac:dyDescent="0.3">
      <c r="A265" s="46" t="s">
        <v>189</v>
      </c>
      <c r="B265" s="46" t="s">
        <v>1128</v>
      </c>
      <c r="C265" s="46" t="s">
        <v>651</v>
      </c>
      <c r="D265" s="46" t="s">
        <v>200</v>
      </c>
      <c r="E265" s="46" t="str">
        <f>IFERROR(VLOOKUP(TRIM(D265), Collection!$B$2:$D$1001, 2, FALSE), "")</f>
        <v>Historiques 222</v>
      </c>
      <c r="F265" s="49" t="str">
        <f>IFERROR(VLOOKUP(TRIM(D265), Collection!$B$2:$D$1001, 3, FALSE), "")</f>
        <v>121,000 AED</v>
      </c>
      <c r="G265" s="49">
        <f t="shared" si="8"/>
        <v>121000</v>
      </c>
      <c r="H265" s="46" t="s">
        <v>192</v>
      </c>
      <c r="I265" s="46">
        <v>103531883</v>
      </c>
      <c r="J265" s="46" t="s">
        <v>193</v>
      </c>
      <c r="K265" s="46" t="s">
        <v>194</v>
      </c>
      <c r="L265" s="46" t="s">
        <v>1243</v>
      </c>
      <c r="M265" s="46" t="b">
        <f t="shared" si="9"/>
        <v>0</v>
      </c>
    </row>
    <row r="266" spans="1:13" ht="31.2" x14ac:dyDescent="0.3">
      <c r="A266" s="46" t="s">
        <v>189</v>
      </c>
      <c r="B266" s="46" t="s">
        <v>1128</v>
      </c>
      <c r="C266" s="46" t="s">
        <v>651</v>
      </c>
      <c r="D266" s="46" t="s">
        <v>200</v>
      </c>
      <c r="E266" s="46" t="str">
        <f>IFERROR(VLOOKUP(TRIM(D266), Collection!$B$2:$D$1001, 2, FALSE), "")</f>
        <v>Historiques 222</v>
      </c>
      <c r="F266" s="49" t="str">
        <f>IFERROR(VLOOKUP(TRIM(D266), Collection!$B$2:$D$1001, 3, FALSE), "")</f>
        <v>121,000 AED</v>
      </c>
      <c r="G266" s="49">
        <f t="shared" si="8"/>
        <v>121000</v>
      </c>
      <c r="H266" s="46" t="s">
        <v>192</v>
      </c>
      <c r="I266" s="46">
        <v>92406536</v>
      </c>
      <c r="J266" s="46" t="s">
        <v>193</v>
      </c>
      <c r="K266" s="46" t="s">
        <v>194</v>
      </c>
      <c r="L266" s="46" t="s">
        <v>1128</v>
      </c>
      <c r="M266" s="46" t="b">
        <f t="shared" si="9"/>
        <v>0</v>
      </c>
    </row>
    <row r="267" spans="1:13" ht="31.2" x14ac:dyDescent="0.3">
      <c r="A267" s="46" t="s">
        <v>189</v>
      </c>
      <c r="B267" s="46" t="s">
        <v>1128</v>
      </c>
      <c r="C267" s="46" t="s">
        <v>651</v>
      </c>
      <c r="D267" s="46" t="s">
        <v>200</v>
      </c>
      <c r="E267" s="46" t="str">
        <f>IFERROR(VLOOKUP(TRIM(D267), Collection!$B$2:$D$1001, 2, FALSE), "")</f>
        <v>Historiques 222</v>
      </c>
      <c r="F267" s="49" t="str">
        <f>IFERROR(VLOOKUP(TRIM(D267), Collection!$B$2:$D$1001, 3, FALSE), "")</f>
        <v>121,000 AED</v>
      </c>
      <c r="G267" s="49">
        <f t="shared" si="8"/>
        <v>121000</v>
      </c>
      <c r="H267" s="46" t="s">
        <v>192</v>
      </c>
      <c r="I267" s="46">
        <v>103620484</v>
      </c>
      <c r="J267" s="46" t="s">
        <v>193</v>
      </c>
      <c r="K267" s="46" t="s">
        <v>194</v>
      </c>
      <c r="L267" s="46" t="s">
        <v>1128</v>
      </c>
      <c r="M267" s="46" t="b">
        <f t="shared" si="9"/>
        <v>0</v>
      </c>
    </row>
    <row r="268" spans="1:13" ht="31.2" x14ac:dyDescent="0.3">
      <c r="A268" s="46" t="s">
        <v>189</v>
      </c>
      <c r="B268" s="46" t="s">
        <v>1128</v>
      </c>
      <c r="C268" s="46" t="s">
        <v>651</v>
      </c>
      <c r="D268" s="46" t="s">
        <v>200</v>
      </c>
      <c r="E268" s="46" t="str">
        <f>IFERROR(VLOOKUP(TRIM(D268), Collection!$B$2:$D$1001, 2, FALSE), "")</f>
        <v>Historiques 222</v>
      </c>
      <c r="F268" s="49" t="str">
        <f>IFERROR(VLOOKUP(TRIM(D268), Collection!$B$2:$D$1001, 3, FALSE), "")</f>
        <v>121,000 AED</v>
      </c>
      <c r="G268" s="49">
        <f t="shared" si="8"/>
        <v>121000</v>
      </c>
      <c r="H268" s="46" t="s">
        <v>192</v>
      </c>
      <c r="I268" s="46">
        <v>103631902</v>
      </c>
      <c r="J268" s="46" t="s">
        <v>193</v>
      </c>
      <c r="K268" s="46" t="s">
        <v>194</v>
      </c>
      <c r="L268" s="46" t="s">
        <v>1128</v>
      </c>
      <c r="M268" s="46" t="b">
        <f t="shared" si="9"/>
        <v>0</v>
      </c>
    </row>
    <row r="269" spans="1:13" ht="31.2" x14ac:dyDescent="0.3">
      <c r="A269" s="46" t="s">
        <v>189</v>
      </c>
      <c r="B269" s="46" t="s">
        <v>1128</v>
      </c>
      <c r="C269" s="46" t="s">
        <v>651</v>
      </c>
      <c r="D269" s="46" t="s">
        <v>200</v>
      </c>
      <c r="E269" s="46" t="str">
        <f>IFERROR(VLOOKUP(TRIM(D269), Collection!$B$2:$D$1001, 2, FALSE), "")</f>
        <v>Historiques 222</v>
      </c>
      <c r="F269" s="49" t="str">
        <f>IFERROR(VLOOKUP(TRIM(D269), Collection!$B$2:$D$1001, 3, FALSE), "")</f>
        <v>121,000 AED</v>
      </c>
      <c r="G269" s="49">
        <f t="shared" si="8"/>
        <v>121000</v>
      </c>
      <c r="H269" s="46" t="s">
        <v>192</v>
      </c>
      <c r="I269" s="46">
        <v>93912121</v>
      </c>
      <c r="J269" s="46" t="s">
        <v>193</v>
      </c>
      <c r="K269" s="46" t="s">
        <v>194</v>
      </c>
      <c r="L269" s="46" t="s">
        <v>1128</v>
      </c>
      <c r="M269" s="46" t="b">
        <f t="shared" si="9"/>
        <v>0</v>
      </c>
    </row>
    <row r="270" spans="1:13" ht="31.2" x14ac:dyDescent="0.3">
      <c r="A270" s="46" t="s">
        <v>189</v>
      </c>
      <c r="B270" s="46" t="s">
        <v>1128</v>
      </c>
      <c r="C270" s="46" t="s">
        <v>651</v>
      </c>
      <c r="D270" s="46" t="s">
        <v>200</v>
      </c>
      <c r="E270" s="46" t="str">
        <f>IFERROR(VLOOKUP(TRIM(D270), Collection!$B$2:$D$1001, 2, FALSE), "")</f>
        <v>Historiques 222</v>
      </c>
      <c r="F270" s="49" t="str">
        <f>IFERROR(VLOOKUP(TRIM(D270), Collection!$B$2:$D$1001, 3, FALSE), "")</f>
        <v>121,000 AED</v>
      </c>
      <c r="G270" s="49">
        <f t="shared" si="8"/>
        <v>121000</v>
      </c>
      <c r="H270" s="46" t="s">
        <v>192</v>
      </c>
      <c r="I270" s="46">
        <v>103617256</v>
      </c>
      <c r="J270" s="46" t="s">
        <v>193</v>
      </c>
      <c r="K270" s="46" t="s">
        <v>194</v>
      </c>
      <c r="L270" s="46" t="s">
        <v>1128</v>
      </c>
      <c r="M270" s="46" t="b">
        <f t="shared" si="9"/>
        <v>0</v>
      </c>
    </row>
    <row r="271" spans="1:13" ht="31.2" x14ac:dyDescent="0.3">
      <c r="A271" s="46" t="s">
        <v>189</v>
      </c>
      <c r="B271" s="46" t="s">
        <v>1128</v>
      </c>
      <c r="C271" s="46" t="s">
        <v>651</v>
      </c>
      <c r="D271" s="46" t="s">
        <v>200</v>
      </c>
      <c r="E271" s="46" t="str">
        <f>IFERROR(VLOOKUP(TRIM(D271), Collection!$B$2:$D$1001, 2, FALSE), "")</f>
        <v>Historiques 222</v>
      </c>
      <c r="F271" s="49" t="str">
        <f>IFERROR(VLOOKUP(TRIM(D271), Collection!$B$2:$D$1001, 3, FALSE), "")</f>
        <v>121,000 AED</v>
      </c>
      <c r="G271" s="49">
        <f t="shared" si="8"/>
        <v>121000</v>
      </c>
      <c r="H271" s="46" t="s">
        <v>192</v>
      </c>
      <c r="I271" s="46">
        <v>103634777</v>
      </c>
      <c r="J271" s="46" t="s">
        <v>193</v>
      </c>
      <c r="K271" s="46" t="s">
        <v>194</v>
      </c>
      <c r="L271" s="46" t="s">
        <v>1128</v>
      </c>
      <c r="M271" s="46" t="b">
        <f t="shared" si="9"/>
        <v>0</v>
      </c>
    </row>
    <row r="272" spans="1:13" ht="93.6" x14ac:dyDescent="0.3">
      <c r="A272" s="46" t="s">
        <v>189</v>
      </c>
      <c r="B272" s="46" t="s">
        <v>1128</v>
      </c>
      <c r="C272" s="47">
        <v>45962</v>
      </c>
      <c r="D272" s="46" t="s">
        <v>56</v>
      </c>
      <c r="E272" s="46" t="str">
        <f>IFERROR(VLOOKUP(TRIM(D272), Collection!$B$2:$D$1001, 2, FALSE), "")</f>
        <v>Overseas dual time Blue</v>
      </c>
      <c r="F272" s="49" t="str">
        <f>IFERROR(VLOOKUP(TRIM(D272), Collection!$B$2:$D$1001, 3, FALSE), "")</f>
        <v>117,000 AED</v>
      </c>
      <c r="G272" s="49">
        <f t="shared" si="8"/>
        <v>117000</v>
      </c>
      <c r="H272" s="46" t="s">
        <v>192</v>
      </c>
      <c r="I272" s="46">
        <v>103576190</v>
      </c>
      <c r="J272" s="46" t="s">
        <v>193</v>
      </c>
      <c r="K272" s="46" t="s">
        <v>194</v>
      </c>
      <c r="L272" s="46" t="s">
        <v>1244</v>
      </c>
      <c r="M272" s="46" t="b">
        <f t="shared" si="9"/>
        <v>0</v>
      </c>
    </row>
    <row r="273" spans="1:13" ht="31.2" x14ac:dyDescent="0.3">
      <c r="A273" s="46" t="s">
        <v>189</v>
      </c>
      <c r="B273" s="46" t="s">
        <v>1128</v>
      </c>
      <c r="C273" s="47">
        <v>45931</v>
      </c>
      <c r="D273" s="46" t="s">
        <v>89</v>
      </c>
      <c r="E273" s="46" t="str">
        <f>IFERROR(VLOOKUP(TRIM(D273), Collection!$B$2:$D$1001, 2, FALSE), "")</f>
        <v>Fiftysix self-winding</v>
      </c>
      <c r="F273" s="49" t="str">
        <f>IFERROR(VLOOKUP(TRIM(D273), Collection!$B$2:$D$1001, 3, FALSE), "")</f>
        <v>48,000 AED</v>
      </c>
      <c r="G273" s="49">
        <f t="shared" si="8"/>
        <v>48000</v>
      </c>
      <c r="H273" s="46" t="s">
        <v>192</v>
      </c>
      <c r="I273" s="46">
        <v>103437674</v>
      </c>
      <c r="J273" s="46" t="s">
        <v>193</v>
      </c>
      <c r="K273" s="46" t="s">
        <v>194</v>
      </c>
      <c r="L273" s="46" t="s">
        <v>1245</v>
      </c>
      <c r="M273" s="46" t="b">
        <f t="shared" si="9"/>
        <v>1</v>
      </c>
    </row>
    <row r="274" spans="1:13" ht="31.2" x14ac:dyDescent="0.3">
      <c r="A274" s="46" t="s">
        <v>264</v>
      </c>
      <c r="B274" s="46" t="s">
        <v>264</v>
      </c>
      <c r="C274" s="47">
        <v>45689</v>
      </c>
      <c r="D274" s="46" t="s">
        <v>686</v>
      </c>
      <c r="E274" s="46" t="str">
        <f>IFERROR(VLOOKUP(TRIM(D274), Collection!$B$2:$D$1001, 2, FALSE), "")</f>
        <v>Overseas chronograph</v>
      </c>
      <c r="F274" s="49" t="str">
        <f>IFERROR(VLOOKUP(TRIM(D274), Collection!$B$2:$D$1001, 3, FALSE), "")</f>
        <v>135,000 AED</v>
      </c>
      <c r="G274" s="49">
        <f t="shared" si="8"/>
        <v>135000</v>
      </c>
      <c r="H274" s="46" t="s">
        <v>192</v>
      </c>
      <c r="I274" s="46">
        <v>103437947</v>
      </c>
      <c r="J274" s="46" t="s">
        <v>193</v>
      </c>
      <c r="K274" s="46" t="s">
        <v>204</v>
      </c>
      <c r="L274" s="46" t="s">
        <v>1246</v>
      </c>
      <c r="M274" s="46" t="b">
        <f t="shared" si="9"/>
        <v>0</v>
      </c>
    </row>
    <row r="275" spans="1:13" ht="265.2" x14ac:dyDescent="0.3">
      <c r="A275" s="46" t="s">
        <v>189</v>
      </c>
      <c r="B275" s="46" t="s">
        <v>1128</v>
      </c>
      <c r="C275" s="47">
        <v>45689</v>
      </c>
      <c r="D275" s="46" t="s">
        <v>56</v>
      </c>
      <c r="E275" s="46" t="str">
        <f>IFERROR(VLOOKUP(TRIM(D275), Collection!$B$2:$D$1001, 2, FALSE), "")</f>
        <v>Overseas dual time Blue</v>
      </c>
      <c r="F275" s="49" t="str">
        <f>IFERROR(VLOOKUP(TRIM(D275), Collection!$B$2:$D$1001, 3, FALSE), "")</f>
        <v>117,000 AED</v>
      </c>
      <c r="G275" s="49">
        <f t="shared" si="8"/>
        <v>117000</v>
      </c>
      <c r="H275" s="46" t="s">
        <v>192</v>
      </c>
      <c r="I275" s="46">
        <v>103437674</v>
      </c>
      <c r="J275" s="46" t="s">
        <v>193</v>
      </c>
      <c r="K275" s="46" t="s">
        <v>194</v>
      </c>
      <c r="L275" s="46" t="s">
        <v>1247</v>
      </c>
      <c r="M275" s="46" t="b">
        <f t="shared" si="9"/>
        <v>0</v>
      </c>
    </row>
    <row r="276" spans="1:13" ht="62.4" x14ac:dyDescent="0.3">
      <c r="A276" s="46" t="s">
        <v>189</v>
      </c>
      <c r="B276" s="46" t="s">
        <v>1128</v>
      </c>
      <c r="C276" s="47">
        <v>45658</v>
      </c>
      <c r="D276" s="46" t="s">
        <v>147</v>
      </c>
      <c r="E276" s="46" t="str">
        <f>IFERROR(VLOOKUP(TRIM(D276), Collection!$B$2:$D$1001, 2, FALSE), "")</f>
        <v>Overseas dual time Green</v>
      </c>
      <c r="F276" s="49" t="str">
        <f>IFERROR(VLOOKUP(TRIM(D276), Collection!$B$2:$D$1001, 3, FALSE), "")</f>
        <v>286,000 AED</v>
      </c>
      <c r="G276" s="49">
        <f t="shared" si="8"/>
        <v>286000</v>
      </c>
      <c r="H276" s="46" t="s">
        <v>192</v>
      </c>
      <c r="I276" s="46">
        <v>103671316</v>
      </c>
      <c r="J276" s="46" t="s">
        <v>193</v>
      </c>
      <c r="K276" s="46" t="s">
        <v>194</v>
      </c>
      <c r="L276" s="46" t="s">
        <v>1248</v>
      </c>
      <c r="M276" s="46" t="b">
        <f t="shared" si="9"/>
        <v>0</v>
      </c>
    </row>
    <row r="277" spans="1:13" ht="31.2" x14ac:dyDescent="0.3">
      <c r="A277" s="46" t="s">
        <v>69</v>
      </c>
      <c r="B277" s="46" t="s">
        <v>229</v>
      </c>
      <c r="C277" s="46" t="s">
        <v>694</v>
      </c>
      <c r="D277" s="46" t="s">
        <v>241</v>
      </c>
      <c r="E277" s="46" t="str">
        <f>IFERROR(VLOOKUP(TRIM(D277), Collection!$B$2:$D$1001, 2, FALSE), "")</f>
        <v>Overseas chronograph</v>
      </c>
      <c r="F277" s="49" t="str">
        <f>IFERROR(VLOOKUP(TRIM(D277), Collection!$B$2:$D$1001, 3, FALSE), "")</f>
        <v>135,000 AED</v>
      </c>
      <c r="G277" s="49">
        <f t="shared" si="8"/>
        <v>135000</v>
      </c>
      <c r="H277" s="46" t="s">
        <v>192</v>
      </c>
      <c r="I277" s="46">
        <v>102277427</v>
      </c>
      <c r="J277" s="46" t="s">
        <v>193</v>
      </c>
      <c r="K277" s="46" t="s">
        <v>204</v>
      </c>
      <c r="L277" s="46" t="s">
        <v>1249</v>
      </c>
      <c r="M277" s="46" t="b">
        <f t="shared" si="9"/>
        <v>0</v>
      </c>
    </row>
    <row r="278" spans="1:13" ht="31.2" x14ac:dyDescent="0.3">
      <c r="A278" s="46" t="s">
        <v>189</v>
      </c>
      <c r="B278" s="46" t="s">
        <v>1128</v>
      </c>
      <c r="C278" s="46" t="s">
        <v>696</v>
      </c>
      <c r="D278" s="46" t="s">
        <v>120</v>
      </c>
      <c r="E278" s="46" t="str">
        <f>IFERROR(VLOOKUP(TRIM(D278), Collection!$B$2:$D$1001, 2, FALSE), "")</f>
        <v>Overseas self-winding</v>
      </c>
      <c r="F278" s="49" t="str">
        <f>IFERROR(VLOOKUP(TRIM(D278), Collection!$B$2:$D$1001, 3, FALSE), "")</f>
        <v>94,500 AED</v>
      </c>
      <c r="G278" s="49">
        <f t="shared" si="8"/>
        <v>94500</v>
      </c>
      <c r="H278" s="46" t="s">
        <v>192</v>
      </c>
      <c r="I278" s="46">
        <v>103100862</v>
      </c>
      <c r="J278" s="46" t="s">
        <v>193</v>
      </c>
      <c r="K278" s="46" t="s">
        <v>201</v>
      </c>
      <c r="L278" s="46" t="s">
        <v>1128</v>
      </c>
      <c r="M278" s="46" t="b">
        <f t="shared" si="9"/>
        <v>0</v>
      </c>
    </row>
    <row r="279" spans="1:13" ht="109.2" x14ac:dyDescent="0.3">
      <c r="A279" s="46" t="s">
        <v>189</v>
      </c>
      <c r="B279" s="46" t="s">
        <v>698</v>
      </c>
      <c r="C279" s="46" t="s">
        <v>696</v>
      </c>
      <c r="D279" s="46" t="s">
        <v>209</v>
      </c>
      <c r="E279" s="46" t="str">
        <f>IFERROR(VLOOKUP(TRIM(D279), Collection!$B$2:$D$1001, 2, FALSE), "")</f>
        <v>Overseas self-winding</v>
      </c>
      <c r="F279" s="49" t="str">
        <f>IFERROR(VLOOKUP(TRIM(D279), Collection!$B$2:$D$1001, 3, FALSE), "")</f>
        <v>94,500 AED</v>
      </c>
      <c r="G279" s="49">
        <f t="shared" si="8"/>
        <v>94500</v>
      </c>
      <c r="H279" s="46" t="s">
        <v>192</v>
      </c>
      <c r="I279" s="46">
        <v>99502446</v>
      </c>
      <c r="J279" s="46" t="s">
        <v>193</v>
      </c>
      <c r="K279" s="46" t="s">
        <v>201</v>
      </c>
      <c r="L279" s="46" t="s">
        <v>1250</v>
      </c>
      <c r="M279" s="46" t="b">
        <f t="shared" si="9"/>
        <v>0</v>
      </c>
    </row>
    <row r="280" spans="1:13" ht="171.6" x14ac:dyDescent="0.3">
      <c r="A280" s="46" t="s">
        <v>189</v>
      </c>
      <c r="B280" s="46" t="s">
        <v>229</v>
      </c>
      <c r="C280" s="46" t="s">
        <v>701</v>
      </c>
      <c r="D280" s="46" t="s">
        <v>241</v>
      </c>
      <c r="E280" s="46" t="str">
        <f>IFERROR(VLOOKUP(TRIM(D280), Collection!$B$2:$D$1001, 2, FALSE), "")</f>
        <v>Overseas chronograph</v>
      </c>
      <c r="F280" s="49" t="str">
        <f>IFERROR(VLOOKUP(TRIM(D280), Collection!$B$2:$D$1001, 3, FALSE), "")</f>
        <v>135,000 AED</v>
      </c>
      <c r="G280" s="49">
        <f t="shared" si="8"/>
        <v>135000</v>
      </c>
      <c r="H280" s="46" t="s">
        <v>192</v>
      </c>
      <c r="I280" s="46">
        <v>102505094</v>
      </c>
      <c r="J280" s="46" t="s">
        <v>193</v>
      </c>
      <c r="K280" s="46" t="s">
        <v>194</v>
      </c>
      <c r="L280" s="46" t="s">
        <v>1251</v>
      </c>
      <c r="M280" s="46" t="b">
        <f t="shared" si="9"/>
        <v>0</v>
      </c>
    </row>
    <row r="281" spans="1:13" ht="31.2" x14ac:dyDescent="0.3">
      <c r="A281" s="46" t="s">
        <v>189</v>
      </c>
      <c r="B281" s="46" t="s">
        <v>1128</v>
      </c>
      <c r="C281" s="46" t="s">
        <v>704</v>
      </c>
      <c r="D281" s="46" t="s">
        <v>56</v>
      </c>
      <c r="E281" s="46" t="str">
        <f>IFERROR(VLOOKUP(TRIM(D281), Collection!$B$2:$D$1001, 2, FALSE), "")</f>
        <v>Overseas dual time Blue</v>
      </c>
      <c r="F281" s="49" t="str">
        <f>IFERROR(VLOOKUP(TRIM(D281), Collection!$B$2:$D$1001, 3, FALSE), "")</f>
        <v>117,000 AED</v>
      </c>
      <c r="G281" s="49">
        <f t="shared" si="8"/>
        <v>117000</v>
      </c>
      <c r="H281" s="46" t="s">
        <v>192</v>
      </c>
      <c r="I281" s="46">
        <v>102928395</v>
      </c>
      <c r="J281" s="46" t="s">
        <v>193</v>
      </c>
      <c r="K281" s="46" t="s">
        <v>194</v>
      </c>
      <c r="L281" s="46" t="s">
        <v>1252</v>
      </c>
      <c r="M281" s="46" t="b">
        <f t="shared" si="9"/>
        <v>0</v>
      </c>
    </row>
    <row r="282" spans="1:13" ht="31.2" x14ac:dyDescent="0.3">
      <c r="A282" s="46" t="s">
        <v>189</v>
      </c>
      <c r="B282" s="46" t="s">
        <v>1128</v>
      </c>
      <c r="C282" s="46" t="s">
        <v>704</v>
      </c>
      <c r="D282" s="46" t="s">
        <v>120</v>
      </c>
      <c r="E282" s="46" t="str">
        <f>IFERROR(VLOOKUP(TRIM(D282), Collection!$B$2:$D$1001, 2, FALSE), "")</f>
        <v>Overseas self-winding</v>
      </c>
      <c r="F282" s="49" t="str">
        <f>IFERROR(VLOOKUP(TRIM(D282), Collection!$B$2:$D$1001, 3, FALSE), "")</f>
        <v>94,500 AED</v>
      </c>
      <c r="G282" s="49">
        <f t="shared" si="8"/>
        <v>94500</v>
      </c>
      <c r="H282" s="46" t="s">
        <v>192</v>
      </c>
      <c r="I282" s="46">
        <v>103124476</v>
      </c>
      <c r="J282" s="46" t="s">
        <v>193</v>
      </c>
      <c r="K282" s="46" t="s">
        <v>201</v>
      </c>
      <c r="L282" s="46" t="s">
        <v>1128</v>
      </c>
      <c r="M282" s="46" t="b">
        <f t="shared" si="9"/>
        <v>0</v>
      </c>
    </row>
    <row r="283" spans="1:13" ht="31.2" x14ac:dyDescent="0.3">
      <c r="A283" s="46" t="s">
        <v>189</v>
      </c>
      <c r="B283" s="46" t="s">
        <v>1128</v>
      </c>
      <c r="C283" s="46" t="s">
        <v>708</v>
      </c>
      <c r="D283" s="46" t="s">
        <v>209</v>
      </c>
      <c r="E283" s="46" t="str">
        <f>IFERROR(VLOOKUP(TRIM(D283), Collection!$B$2:$D$1001, 2, FALSE), "")</f>
        <v>Overseas self-winding</v>
      </c>
      <c r="F283" s="49" t="str">
        <f>IFERROR(VLOOKUP(TRIM(D283), Collection!$B$2:$D$1001, 3, FALSE), "")</f>
        <v>94,500 AED</v>
      </c>
      <c r="G283" s="49">
        <f t="shared" si="8"/>
        <v>94500</v>
      </c>
      <c r="H283" s="46" t="s">
        <v>192</v>
      </c>
      <c r="I283" s="46">
        <v>102945078</v>
      </c>
      <c r="J283" s="46" t="s">
        <v>193</v>
      </c>
      <c r="K283" s="46" t="s">
        <v>201</v>
      </c>
      <c r="L283" s="46" t="s">
        <v>1128</v>
      </c>
      <c r="M283" s="46" t="b">
        <f t="shared" si="9"/>
        <v>0</v>
      </c>
    </row>
    <row r="284" spans="1:13" ht="46.8" x14ac:dyDescent="0.3">
      <c r="A284" s="46" t="s">
        <v>189</v>
      </c>
      <c r="B284" s="46" t="s">
        <v>698</v>
      </c>
      <c r="C284" s="46" t="s">
        <v>710</v>
      </c>
      <c r="D284" s="46" t="s">
        <v>686</v>
      </c>
      <c r="E284" s="46" t="str">
        <f>IFERROR(VLOOKUP(TRIM(D284), Collection!$B$2:$D$1001, 2, FALSE), "")</f>
        <v>Overseas chronograph</v>
      </c>
      <c r="F284" s="49" t="str">
        <f>IFERROR(VLOOKUP(TRIM(D284), Collection!$B$2:$D$1001, 3, FALSE), "")</f>
        <v>135,000 AED</v>
      </c>
      <c r="G284" s="49">
        <f t="shared" si="8"/>
        <v>135000</v>
      </c>
      <c r="H284" s="46" t="s">
        <v>192</v>
      </c>
      <c r="I284" s="46">
        <v>102505094</v>
      </c>
      <c r="J284" s="46" t="s">
        <v>193</v>
      </c>
      <c r="K284" s="46" t="s">
        <v>194</v>
      </c>
      <c r="L284" s="46" t="s">
        <v>1253</v>
      </c>
      <c r="M284" s="46" t="b">
        <f t="shared" si="9"/>
        <v>0</v>
      </c>
    </row>
    <row r="285" spans="1:13" ht="62.4" x14ac:dyDescent="0.3">
      <c r="A285" s="46" t="s">
        <v>189</v>
      </c>
      <c r="B285" s="46" t="s">
        <v>229</v>
      </c>
      <c r="C285" s="46" t="s">
        <v>710</v>
      </c>
      <c r="D285" s="46" t="s">
        <v>160</v>
      </c>
      <c r="E285" s="46" t="str">
        <f>IFERROR(VLOOKUP(TRIM(D285), Collection!$B$2:$D$1001, 2, FALSE), "")</f>
        <v>Overseas dual time Black</v>
      </c>
      <c r="F285" s="49" t="str">
        <f>IFERROR(VLOOKUP(TRIM(D285), Collection!$B$2:$D$1001, 3, FALSE), "")</f>
        <v>117,000 AED</v>
      </c>
      <c r="G285" s="49">
        <f t="shared" si="8"/>
        <v>117000</v>
      </c>
      <c r="H285" s="46" t="s">
        <v>192</v>
      </c>
      <c r="I285" s="46">
        <v>102928395</v>
      </c>
      <c r="J285" s="46" t="s">
        <v>193</v>
      </c>
      <c r="K285" s="46" t="s">
        <v>194</v>
      </c>
      <c r="L285" s="46" t="s">
        <v>1254</v>
      </c>
      <c r="M285" s="46" t="b">
        <f t="shared" si="9"/>
        <v>0</v>
      </c>
    </row>
    <row r="286" spans="1:13" ht="31.2" x14ac:dyDescent="0.3">
      <c r="A286" s="46" t="s">
        <v>69</v>
      </c>
      <c r="B286" s="46" t="s">
        <v>229</v>
      </c>
      <c r="C286" s="46" t="s">
        <v>710</v>
      </c>
      <c r="D286" s="46" t="s">
        <v>241</v>
      </c>
      <c r="E286" s="46" t="str">
        <f>IFERROR(VLOOKUP(TRIM(D286), Collection!$B$2:$D$1001, 2, FALSE), "")</f>
        <v>Overseas chronograph</v>
      </c>
      <c r="F286" s="49" t="str">
        <f>IFERROR(VLOOKUP(TRIM(D286), Collection!$B$2:$D$1001, 3, FALSE), "")</f>
        <v>135,000 AED</v>
      </c>
      <c r="G286" s="49">
        <f t="shared" si="8"/>
        <v>135000</v>
      </c>
      <c r="H286" s="46" t="s">
        <v>192</v>
      </c>
      <c r="I286" s="46">
        <v>102965997</v>
      </c>
      <c r="J286" s="46" t="s">
        <v>193</v>
      </c>
      <c r="K286" s="46" t="s">
        <v>201</v>
      </c>
      <c r="L286" s="46" t="s">
        <v>1128</v>
      </c>
      <c r="M286" s="46" t="b">
        <f t="shared" si="9"/>
        <v>0</v>
      </c>
    </row>
    <row r="287" spans="1:13" ht="62.4" x14ac:dyDescent="0.3">
      <c r="A287" s="46" t="s">
        <v>189</v>
      </c>
      <c r="B287" s="46" t="s">
        <v>1128</v>
      </c>
      <c r="C287" s="46" t="s">
        <v>714</v>
      </c>
      <c r="D287" s="46" t="s">
        <v>120</v>
      </c>
      <c r="E287" s="46" t="str">
        <f>IFERROR(VLOOKUP(TRIM(D287), Collection!$B$2:$D$1001, 2, FALSE), "")</f>
        <v>Overseas self-winding</v>
      </c>
      <c r="F287" s="49" t="str">
        <f>IFERROR(VLOOKUP(TRIM(D287), Collection!$B$2:$D$1001, 3, FALSE), "")</f>
        <v>94,500 AED</v>
      </c>
      <c r="G287" s="49">
        <f t="shared" si="8"/>
        <v>94500</v>
      </c>
      <c r="H287" s="46" t="s">
        <v>192</v>
      </c>
      <c r="I287" s="46">
        <v>103081456</v>
      </c>
      <c r="J287" s="46" t="s">
        <v>193</v>
      </c>
      <c r="K287" s="46" t="s">
        <v>201</v>
      </c>
      <c r="L287" s="46" t="s">
        <v>1255</v>
      </c>
      <c r="M287" s="46" t="b">
        <f t="shared" si="9"/>
        <v>0</v>
      </c>
    </row>
    <row r="288" spans="1:13" ht="62.4" x14ac:dyDescent="0.3">
      <c r="A288" s="46" t="s">
        <v>264</v>
      </c>
      <c r="B288" s="46" t="s">
        <v>264</v>
      </c>
      <c r="C288" s="46" t="s">
        <v>714</v>
      </c>
      <c r="D288" s="46" t="s">
        <v>154</v>
      </c>
      <c r="E288" s="46" t="str">
        <f>IFERROR(VLOOKUP(TRIM(D288), Collection!$B$2:$D$1001, 2, FALSE), "")</f>
        <v>Overseas self-winding Green</v>
      </c>
      <c r="F288" s="49" t="str">
        <f>IFERROR(VLOOKUP(TRIM(D288), Collection!$B$2:$D$1001, 3, FALSE), "")</f>
        <v>229,000 AED</v>
      </c>
      <c r="G288" s="49">
        <f t="shared" si="8"/>
        <v>229000</v>
      </c>
      <c r="H288" s="46" t="s">
        <v>192</v>
      </c>
      <c r="I288" s="46">
        <v>103058008</v>
      </c>
      <c r="J288" s="46" t="s">
        <v>193</v>
      </c>
      <c r="K288" s="46" t="s">
        <v>201</v>
      </c>
      <c r="L288" s="46" t="s">
        <v>1256</v>
      </c>
      <c r="M288" s="46" t="b">
        <f t="shared" si="9"/>
        <v>0</v>
      </c>
    </row>
    <row r="289" spans="1:13" ht="31.2" x14ac:dyDescent="0.3">
      <c r="A289" s="46" t="s">
        <v>264</v>
      </c>
      <c r="B289" s="46" t="s">
        <v>264</v>
      </c>
      <c r="C289" s="46" t="s">
        <v>714</v>
      </c>
      <c r="D289" s="46" t="s">
        <v>80</v>
      </c>
      <c r="E289" s="46" t="str">
        <f>IFERROR(VLOOKUP(TRIM(D289), Collection!$B$2:$D$1001, 2, FALSE), "")</f>
        <v>Historiques 222</v>
      </c>
      <c r="F289" s="49" t="str">
        <f>IFERROR(VLOOKUP(TRIM(D289), Collection!$B$2:$D$1001, 3, FALSE), "")</f>
        <v>279,000 AED</v>
      </c>
      <c r="G289" s="49">
        <f t="shared" si="8"/>
        <v>279000</v>
      </c>
      <c r="H289" s="46" t="s">
        <v>192</v>
      </c>
      <c r="I289" s="46">
        <v>103058008</v>
      </c>
      <c r="J289" s="46" t="s">
        <v>193</v>
      </c>
      <c r="K289" s="46" t="s">
        <v>201</v>
      </c>
      <c r="L289" s="46" t="s">
        <v>1128</v>
      </c>
      <c r="M289" s="46" t="b">
        <f t="shared" si="9"/>
        <v>1</v>
      </c>
    </row>
    <row r="290" spans="1:13" ht="31.2" x14ac:dyDescent="0.3">
      <c r="A290" s="46" t="s">
        <v>264</v>
      </c>
      <c r="B290" s="46" t="s">
        <v>264</v>
      </c>
      <c r="C290" s="46" t="s">
        <v>718</v>
      </c>
      <c r="D290" s="46" t="s">
        <v>89</v>
      </c>
      <c r="E290" s="46" t="str">
        <f>IFERROR(VLOOKUP(TRIM(D290), Collection!$B$2:$D$1001, 2, FALSE), "")</f>
        <v>Fiftysix self-winding</v>
      </c>
      <c r="F290" s="49" t="str">
        <f>IFERROR(VLOOKUP(TRIM(D290), Collection!$B$2:$D$1001, 3, FALSE), "")</f>
        <v>48,000 AED</v>
      </c>
      <c r="G290" s="49">
        <f t="shared" si="8"/>
        <v>48000</v>
      </c>
      <c r="H290" s="46" t="s">
        <v>192</v>
      </c>
      <c r="I290" s="46">
        <v>103057654</v>
      </c>
      <c r="J290" s="46" t="s">
        <v>193</v>
      </c>
      <c r="K290" s="46" t="s">
        <v>201</v>
      </c>
      <c r="L290" s="46" t="s">
        <v>1128</v>
      </c>
      <c r="M290" s="46" t="b">
        <f t="shared" si="9"/>
        <v>1</v>
      </c>
    </row>
    <row r="291" spans="1:13" ht="202.8" x14ac:dyDescent="0.3">
      <c r="A291" s="46" t="s">
        <v>189</v>
      </c>
      <c r="B291" s="46" t="s">
        <v>229</v>
      </c>
      <c r="C291" s="46" t="s">
        <v>718</v>
      </c>
      <c r="D291" s="46" t="s">
        <v>501</v>
      </c>
      <c r="E291" s="46" t="str">
        <f>IFERROR(VLOOKUP(TRIM(D291), Collection!$B$2:$D$1001, 2, FALSE), "")</f>
        <v>Overseas perpetual calendar ultra-thin skeleton</v>
      </c>
      <c r="F291" s="49" t="str">
        <f>IFERROR(VLOOKUP(TRIM(D291), Collection!$B$2:$D$1001, 3, FALSE), "")</f>
        <v>605,000 AED</v>
      </c>
      <c r="G291" s="49">
        <f t="shared" si="8"/>
        <v>605000</v>
      </c>
      <c r="H291" s="46" t="s">
        <v>192</v>
      </c>
      <c r="I291" s="46">
        <v>103058741</v>
      </c>
      <c r="J291" s="46" t="s">
        <v>193</v>
      </c>
      <c r="K291" s="46" t="s">
        <v>194</v>
      </c>
      <c r="L291" s="46" t="s">
        <v>1257</v>
      </c>
      <c r="M291" s="46" t="b">
        <f t="shared" si="9"/>
        <v>0</v>
      </c>
    </row>
    <row r="292" spans="1:13" ht="78" x14ac:dyDescent="0.3">
      <c r="A292" s="46" t="s">
        <v>264</v>
      </c>
      <c r="B292" s="46" t="s">
        <v>264</v>
      </c>
      <c r="C292" s="46" t="s">
        <v>722</v>
      </c>
      <c r="D292" s="46" t="s">
        <v>56</v>
      </c>
      <c r="E292" s="46" t="str">
        <f>IFERROR(VLOOKUP(TRIM(D292), Collection!$B$2:$D$1001, 2, FALSE), "")</f>
        <v>Overseas dual time Blue</v>
      </c>
      <c r="F292" s="49" t="str">
        <f>IFERROR(VLOOKUP(TRIM(D292), Collection!$B$2:$D$1001, 3, FALSE), "")</f>
        <v>117,000 AED</v>
      </c>
      <c r="G292" s="49">
        <f t="shared" si="8"/>
        <v>117000</v>
      </c>
      <c r="H292" s="46" t="s">
        <v>192</v>
      </c>
      <c r="I292" s="46">
        <v>102965997</v>
      </c>
      <c r="J292" s="46" t="s">
        <v>193</v>
      </c>
      <c r="K292" s="46" t="s">
        <v>201</v>
      </c>
      <c r="L292" s="46" t="s">
        <v>1258</v>
      </c>
      <c r="M292" s="46" t="b">
        <f t="shared" si="9"/>
        <v>0</v>
      </c>
    </row>
    <row r="293" spans="1:13" ht="124.8" x14ac:dyDescent="0.3">
      <c r="A293" s="46" t="s">
        <v>189</v>
      </c>
      <c r="B293" s="46" t="s">
        <v>1128</v>
      </c>
      <c r="C293" s="46" t="s">
        <v>722</v>
      </c>
      <c r="D293" s="46" t="s">
        <v>120</v>
      </c>
      <c r="E293" s="46" t="str">
        <f>IFERROR(VLOOKUP(TRIM(D293), Collection!$B$2:$D$1001, 2, FALSE), "")</f>
        <v>Overseas self-winding</v>
      </c>
      <c r="F293" s="49" t="str">
        <f>IFERROR(VLOOKUP(TRIM(D293), Collection!$B$2:$D$1001, 3, FALSE), "")</f>
        <v>94,500 AED</v>
      </c>
      <c r="G293" s="49">
        <f t="shared" si="8"/>
        <v>94500</v>
      </c>
      <c r="H293" s="46" t="s">
        <v>192</v>
      </c>
      <c r="I293" s="46">
        <v>102991728</v>
      </c>
      <c r="J293" s="46" t="s">
        <v>193</v>
      </c>
      <c r="K293" s="46" t="s">
        <v>201</v>
      </c>
      <c r="L293" s="46" t="s">
        <v>1259</v>
      </c>
      <c r="M293" s="46" t="b">
        <f t="shared" si="9"/>
        <v>0</v>
      </c>
    </row>
    <row r="294" spans="1:13" ht="124.8" x14ac:dyDescent="0.3">
      <c r="A294" s="46" t="s">
        <v>264</v>
      </c>
      <c r="B294" s="46" t="s">
        <v>264</v>
      </c>
      <c r="C294" s="46" t="s">
        <v>726</v>
      </c>
      <c r="D294" s="46" t="s">
        <v>633</v>
      </c>
      <c r="E294" s="46" t="str">
        <f>IFERROR(VLOOKUP(TRIM(D294), Collection!$B$2:$D$1001, 2, FALSE), "")</f>
        <v>Overseas self-winding</v>
      </c>
      <c r="F294" s="49" t="str">
        <f>IFERROR(VLOOKUP(TRIM(D294), Collection!$B$2:$D$1001, 3, FALSE), "")</f>
        <v>94,500 AED</v>
      </c>
      <c r="G294" s="49">
        <f t="shared" si="8"/>
        <v>94500</v>
      </c>
      <c r="H294" s="46" t="s">
        <v>192</v>
      </c>
      <c r="I294" s="46">
        <v>102951000</v>
      </c>
      <c r="J294" s="46" t="s">
        <v>193</v>
      </c>
      <c r="K294" s="46" t="s">
        <v>201</v>
      </c>
      <c r="L294" s="46" t="s">
        <v>1260</v>
      </c>
      <c r="M294" s="46" t="b">
        <f t="shared" si="9"/>
        <v>0</v>
      </c>
    </row>
    <row r="295" spans="1:13" ht="31.2" x14ac:dyDescent="0.3">
      <c r="A295" s="46" t="s">
        <v>189</v>
      </c>
      <c r="B295" s="46" t="s">
        <v>1128</v>
      </c>
      <c r="C295" s="47">
        <v>45577</v>
      </c>
      <c r="D295" s="46" t="s">
        <v>120</v>
      </c>
      <c r="E295" s="46" t="str">
        <f>IFERROR(VLOOKUP(TRIM(D295), Collection!$B$2:$D$1001, 2, FALSE), "")</f>
        <v>Overseas self-winding</v>
      </c>
      <c r="F295" s="49" t="str">
        <f>IFERROR(VLOOKUP(TRIM(D295), Collection!$B$2:$D$1001, 3, FALSE), "")</f>
        <v>94,500 AED</v>
      </c>
      <c r="G295" s="49">
        <f t="shared" si="8"/>
        <v>94500</v>
      </c>
      <c r="H295" s="46" t="s">
        <v>192</v>
      </c>
      <c r="I295" s="46">
        <v>102904196</v>
      </c>
      <c r="J295" s="46" t="s">
        <v>193</v>
      </c>
      <c r="K295" s="46" t="s">
        <v>201</v>
      </c>
      <c r="L295" s="46" t="s">
        <v>1128</v>
      </c>
      <c r="M295" s="46" t="b">
        <f t="shared" si="9"/>
        <v>0</v>
      </c>
    </row>
    <row r="296" spans="1:13" ht="31.2" x14ac:dyDescent="0.3">
      <c r="A296" s="46" t="s">
        <v>69</v>
      </c>
      <c r="B296" s="46" t="s">
        <v>229</v>
      </c>
      <c r="C296" s="47">
        <v>45577</v>
      </c>
      <c r="D296" s="46" t="s">
        <v>120</v>
      </c>
      <c r="E296" s="46" t="str">
        <f>IFERROR(VLOOKUP(TRIM(D296), Collection!$B$2:$D$1001, 2, FALSE), "")</f>
        <v>Overseas self-winding</v>
      </c>
      <c r="F296" s="49" t="str">
        <f>IFERROR(VLOOKUP(TRIM(D296), Collection!$B$2:$D$1001, 3, FALSE), "")</f>
        <v>94,500 AED</v>
      </c>
      <c r="G296" s="49">
        <f t="shared" si="8"/>
        <v>94500</v>
      </c>
      <c r="H296" s="46" t="s">
        <v>192</v>
      </c>
      <c r="I296" s="46">
        <v>102905570</v>
      </c>
      <c r="J296" s="46" t="s">
        <v>193</v>
      </c>
      <c r="K296" s="46" t="s">
        <v>201</v>
      </c>
      <c r="L296" s="46" t="s">
        <v>1128</v>
      </c>
      <c r="M296" s="46" t="b">
        <f t="shared" si="9"/>
        <v>0</v>
      </c>
    </row>
    <row r="297" spans="1:13" ht="46.8" x14ac:dyDescent="0.3">
      <c r="A297" s="46" t="s">
        <v>189</v>
      </c>
      <c r="B297" s="46" t="s">
        <v>698</v>
      </c>
      <c r="C297" s="47">
        <v>45424</v>
      </c>
      <c r="D297" s="46" t="s">
        <v>154</v>
      </c>
      <c r="E297" s="46" t="str">
        <f>IFERROR(VLOOKUP(TRIM(D297), Collection!$B$2:$D$1001, 2, FALSE), "")</f>
        <v>Overseas self-winding Green</v>
      </c>
      <c r="F297" s="49" t="str">
        <f>IFERROR(VLOOKUP(TRIM(D297), Collection!$B$2:$D$1001, 3, FALSE), "")</f>
        <v>229,000 AED</v>
      </c>
      <c r="G297" s="49">
        <f t="shared" si="8"/>
        <v>229000</v>
      </c>
      <c r="H297" s="46" t="s">
        <v>192</v>
      </c>
      <c r="I297" s="46">
        <v>102735123</v>
      </c>
      <c r="J297" s="46" t="s">
        <v>193</v>
      </c>
      <c r="K297" s="46" t="s">
        <v>204</v>
      </c>
      <c r="L297" s="46" t="s">
        <v>1261</v>
      </c>
      <c r="M297" s="46" t="b">
        <f t="shared" si="9"/>
        <v>0</v>
      </c>
    </row>
    <row r="298" spans="1:13" ht="78" x14ac:dyDescent="0.3">
      <c r="A298" s="46" t="s">
        <v>189</v>
      </c>
      <c r="B298" s="46" t="s">
        <v>698</v>
      </c>
      <c r="C298" s="47">
        <v>45424</v>
      </c>
      <c r="D298" s="46" t="s">
        <v>80</v>
      </c>
      <c r="E298" s="46" t="str">
        <f>IFERROR(VLOOKUP(TRIM(D298), Collection!$B$2:$D$1001, 2, FALSE), "")</f>
        <v>Historiques 222</v>
      </c>
      <c r="F298" s="49" t="str">
        <f>IFERROR(VLOOKUP(TRIM(D298), Collection!$B$2:$D$1001, 3, FALSE), "")</f>
        <v>279,000 AED</v>
      </c>
      <c r="G298" s="49">
        <f t="shared" si="8"/>
        <v>279000</v>
      </c>
      <c r="H298" s="46" t="s">
        <v>192</v>
      </c>
      <c r="I298" s="46">
        <v>102735123</v>
      </c>
      <c r="J298" s="46" t="s">
        <v>193</v>
      </c>
      <c r="K298" s="46" t="s">
        <v>204</v>
      </c>
      <c r="L298" s="46" t="s">
        <v>1262</v>
      </c>
      <c r="M298" s="46" t="b">
        <f t="shared" si="9"/>
        <v>1</v>
      </c>
    </row>
    <row r="299" spans="1:13" ht="62.4" x14ac:dyDescent="0.3">
      <c r="A299" s="46" t="s">
        <v>189</v>
      </c>
      <c r="B299" s="46" t="s">
        <v>1128</v>
      </c>
      <c r="C299" s="47">
        <v>45394</v>
      </c>
      <c r="D299" s="46" t="s">
        <v>120</v>
      </c>
      <c r="E299" s="46" t="str">
        <f>IFERROR(VLOOKUP(TRIM(D299), Collection!$B$2:$D$1001, 2, FALSE), "")</f>
        <v>Overseas self-winding</v>
      </c>
      <c r="F299" s="49" t="str">
        <f>IFERROR(VLOOKUP(TRIM(D299), Collection!$B$2:$D$1001, 3, FALSE), "")</f>
        <v>94,500 AED</v>
      </c>
      <c r="G299" s="49">
        <f t="shared" si="8"/>
        <v>94500</v>
      </c>
      <c r="H299" s="46" t="s">
        <v>192</v>
      </c>
      <c r="I299" s="46">
        <v>102637104</v>
      </c>
      <c r="J299" s="46" t="s">
        <v>193</v>
      </c>
      <c r="K299" s="46" t="s">
        <v>194</v>
      </c>
      <c r="L299" s="46" t="s">
        <v>1263</v>
      </c>
      <c r="M299" s="46" t="b">
        <f t="shared" si="9"/>
        <v>0</v>
      </c>
    </row>
    <row r="300" spans="1:13" ht="31.2" x14ac:dyDescent="0.3">
      <c r="A300" s="46" t="s">
        <v>189</v>
      </c>
      <c r="B300" s="46" t="s">
        <v>1128</v>
      </c>
      <c r="C300" s="46" t="s">
        <v>739</v>
      </c>
      <c r="D300" s="46" t="s">
        <v>56</v>
      </c>
      <c r="E300" s="46" t="str">
        <f>IFERROR(VLOOKUP(TRIM(D300), Collection!$B$2:$D$1001, 2, FALSE), "")</f>
        <v>Overseas dual time Blue</v>
      </c>
      <c r="F300" s="49" t="str">
        <f>IFERROR(VLOOKUP(TRIM(D300), Collection!$B$2:$D$1001, 3, FALSE), "")</f>
        <v>117,000 AED</v>
      </c>
      <c r="G300" s="49">
        <f t="shared" si="8"/>
        <v>117000</v>
      </c>
      <c r="H300" s="46" t="s">
        <v>192</v>
      </c>
      <c r="I300" s="46">
        <v>102618733</v>
      </c>
      <c r="J300" s="46" t="s">
        <v>193</v>
      </c>
      <c r="K300" s="46" t="s">
        <v>204</v>
      </c>
      <c r="L300" s="46" t="s">
        <v>1264</v>
      </c>
      <c r="M300" s="46" t="b">
        <f t="shared" si="9"/>
        <v>0</v>
      </c>
    </row>
    <row r="301" spans="1:13" ht="31.2" x14ac:dyDescent="0.3">
      <c r="A301" s="46" t="s">
        <v>189</v>
      </c>
      <c r="B301" s="46" t="s">
        <v>1128</v>
      </c>
      <c r="C301" s="46" t="s">
        <v>742</v>
      </c>
      <c r="D301" s="46" t="s">
        <v>56</v>
      </c>
      <c r="E301" s="46" t="str">
        <f>IFERROR(VLOOKUP(TRIM(D301), Collection!$B$2:$D$1001, 2, FALSE), "")</f>
        <v>Overseas dual time Blue</v>
      </c>
      <c r="F301" s="49" t="str">
        <f>IFERROR(VLOOKUP(TRIM(D301), Collection!$B$2:$D$1001, 3, FALSE), "")</f>
        <v>117,000 AED</v>
      </c>
      <c r="G301" s="49">
        <f t="shared" si="8"/>
        <v>117000</v>
      </c>
      <c r="H301" s="46" t="s">
        <v>192</v>
      </c>
      <c r="I301" s="46">
        <v>102600071</v>
      </c>
      <c r="J301" s="46" t="s">
        <v>193</v>
      </c>
      <c r="K301" s="46" t="s">
        <v>204</v>
      </c>
      <c r="L301" s="46" t="s">
        <v>1265</v>
      </c>
      <c r="M301" s="46" t="b">
        <f t="shared" si="9"/>
        <v>0</v>
      </c>
    </row>
    <row r="302" spans="1:13" ht="78" x14ac:dyDescent="0.3">
      <c r="A302" s="46" t="s">
        <v>189</v>
      </c>
      <c r="B302" s="46" t="s">
        <v>1128</v>
      </c>
      <c r="C302" s="46" t="s">
        <v>745</v>
      </c>
      <c r="D302" s="46" t="s">
        <v>120</v>
      </c>
      <c r="E302" s="46" t="str">
        <f>IFERROR(VLOOKUP(TRIM(D302), Collection!$B$2:$D$1001, 2, FALSE), "")</f>
        <v>Overseas self-winding</v>
      </c>
      <c r="F302" s="49" t="str">
        <f>IFERROR(VLOOKUP(TRIM(D302), Collection!$B$2:$D$1001, 3, FALSE), "")</f>
        <v>94,500 AED</v>
      </c>
      <c r="G302" s="49">
        <f t="shared" si="8"/>
        <v>94500</v>
      </c>
      <c r="H302" s="46" t="s">
        <v>192</v>
      </c>
      <c r="I302" s="46">
        <v>102549877</v>
      </c>
      <c r="J302" s="46" t="s">
        <v>193</v>
      </c>
      <c r="K302" s="46" t="s">
        <v>204</v>
      </c>
      <c r="L302" s="46" t="s">
        <v>1266</v>
      </c>
      <c r="M302" s="46" t="b">
        <f t="shared" si="9"/>
        <v>0</v>
      </c>
    </row>
    <row r="303" spans="1:13" ht="124.8" x14ac:dyDescent="0.3">
      <c r="A303" s="46" t="s">
        <v>264</v>
      </c>
      <c r="B303" s="46" t="s">
        <v>264</v>
      </c>
      <c r="C303" s="46" t="s">
        <v>748</v>
      </c>
      <c r="D303" s="46" t="s">
        <v>132</v>
      </c>
      <c r="E303" s="46" t="str">
        <f>IFERROR(VLOOKUP(TRIM(D303), Collection!$B$2:$D$1001, 2, FALSE), "")</f>
        <v>Overseas moon phase retrograde date</v>
      </c>
      <c r="F303" s="49" t="str">
        <f>IFERROR(VLOOKUP(TRIM(D303), Collection!$B$2:$D$1001, 3, FALSE), "")</f>
        <v>166,000 AED</v>
      </c>
      <c r="G303" s="49">
        <f t="shared" si="8"/>
        <v>166000</v>
      </c>
      <c r="H303" s="46" t="s">
        <v>192</v>
      </c>
      <c r="I303" s="46">
        <v>92404764</v>
      </c>
      <c r="J303" s="46" t="s">
        <v>193</v>
      </c>
      <c r="K303" s="46" t="s">
        <v>204</v>
      </c>
      <c r="L303" s="46" t="s">
        <v>1267</v>
      </c>
      <c r="M303" s="46" t="b">
        <f t="shared" si="9"/>
        <v>0</v>
      </c>
    </row>
    <row r="304" spans="1:13" ht="62.4" x14ac:dyDescent="0.3">
      <c r="A304" s="46" t="s">
        <v>189</v>
      </c>
      <c r="B304" s="46" t="s">
        <v>1128</v>
      </c>
      <c r="C304" s="46" t="s">
        <v>751</v>
      </c>
      <c r="D304" s="46" t="s">
        <v>120</v>
      </c>
      <c r="E304" s="46" t="str">
        <f>IFERROR(VLOOKUP(TRIM(D304), Collection!$B$2:$D$1001, 2, FALSE), "")</f>
        <v>Overseas self-winding</v>
      </c>
      <c r="F304" s="49" t="str">
        <f>IFERROR(VLOOKUP(TRIM(D304), Collection!$B$2:$D$1001, 3, FALSE), "")</f>
        <v>94,500 AED</v>
      </c>
      <c r="G304" s="49">
        <f t="shared" si="8"/>
        <v>94500</v>
      </c>
      <c r="H304" s="46" t="s">
        <v>192</v>
      </c>
      <c r="I304" s="46">
        <v>101623615</v>
      </c>
      <c r="J304" s="46" t="s">
        <v>193</v>
      </c>
      <c r="K304" s="46" t="s">
        <v>201</v>
      </c>
      <c r="L304" s="46" t="s">
        <v>1268</v>
      </c>
      <c r="M304" s="46" t="b">
        <f t="shared" si="9"/>
        <v>0</v>
      </c>
    </row>
    <row r="305" spans="1:13" ht="93.6" x14ac:dyDescent="0.3">
      <c r="A305" s="46" t="s">
        <v>189</v>
      </c>
      <c r="B305" s="46" t="s">
        <v>1128</v>
      </c>
      <c r="C305" s="46" t="s">
        <v>753</v>
      </c>
      <c r="D305" s="46" t="s">
        <v>14</v>
      </c>
      <c r="E305" s="46" t="str">
        <f>IFERROR(VLOOKUP(TRIM(D305), Collection!$B$2:$D$1001, 2, FALSE), "")</f>
        <v>Overseas quartz</v>
      </c>
      <c r="F305" s="49" t="str">
        <f>IFERROR(VLOOKUP(TRIM(D305), Collection!$B$2:$D$1001, 3, FALSE), "")</f>
        <v>62,500 AED</v>
      </c>
      <c r="G305" s="49">
        <f t="shared" si="8"/>
        <v>62500</v>
      </c>
      <c r="H305" s="46" t="s">
        <v>192</v>
      </c>
      <c r="I305" s="46">
        <v>102502922</v>
      </c>
      <c r="J305" s="46" t="s">
        <v>193</v>
      </c>
      <c r="K305" s="46" t="s">
        <v>194</v>
      </c>
      <c r="L305" s="46" t="s">
        <v>1269</v>
      </c>
      <c r="M305" s="46" t="b">
        <f t="shared" si="9"/>
        <v>0</v>
      </c>
    </row>
    <row r="306" spans="1:13" ht="109.2" x14ac:dyDescent="0.3">
      <c r="A306" s="46" t="s">
        <v>189</v>
      </c>
      <c r="B306" s="46" t="s">
        <v>1128</v>
      </c>
      <c r="C306" s="46" t="s">
        <v>753</v>
      </c>
      <c r="D306" s="46" t="s">
        <v>56</v>
      </c>
      <c r="E306" s="46" t="str">
        <f>IFERROR(VLOOKUP(TRIM(D306), Collection!$B$2:$D$1001, 2, FALSE), "")</f>
        <v>Overseas dual time Blue</v>
      </c>
      <c r="F306" s="49" t="str">
        <f>IFERROR(VLOOKUP(TRIM(D306), Collection!$B$2:$D$1001, 3, FALSE), "")</f>
        <v>117,000 AED</v>
      </c>
      <c r="G306" s="49">
        <f t="shared" si="8"/>
        <v>117000</v>
      </c>
      <c r="H306" s="46" t="s">
        <v>192</v>
      </c>
      <c r="I306" s="46">
        <v>101472623</v>
      </c>
      <c r="J306" s="46" t="s">
        <v>193</v>
      </c>
      <c r="K306" s="46" t="s">
        <v>194</v>
      </c>
      <c r="L306" s="46" t="s">
        <v>1270</v>
      </c>
      <c r="M306" s="46" t="b">
        <f t="shared" si="9"/>
        <v>0</v>
      </c>
    </row>
    <row r="307" spans="1:13" ht="124.8" x14ac:dyDescent="0.3">
      <c r="A307" s="46" t="s">
        <v>189</v>
      </c>
      <c r="B307" s="46" t="s">
        <v>1128</v>
      </c>
      <c r="C307" s="46" t="s">
        <v>753</v>
      </c>
      <c r="D307" s="46" t="s">
        <v>120</v>
      </c>
      <c r="E307" s="46" t="str">
        <f>IFERROR(VLOOKUP(TRIM(D307), Collection!$B$2:$D$1001, 2, FALSE), "")</f>
        <v>Overseas self-winding</v>
      </c>
      <c r="F307" s="49" t="str">
        <f>IFERROR(VLOOKUP(TRIM(D307), Collection!$B$2:$D$1001, 3, FALSE), "")</f>
        <v>94,500 AED</v>
      </c>
      <c r="G307" s="49">
        <f t="shared" si="8"/>
        <v>94500</v>
      </c>
      <c r="H307" s="46" t="s">
        <v>192</v>
      </c>
      <c r="I307" s="46">
        <v>102494314</v>
      </c>
      <c r="J307" s="46" t="s">
        <v>248</v>
      </c>
      <c r="K307" s="46" t="s">
        <v>201</v>
      </c>
      <c r="L307" s="46" t="s">
        <v>1271</v>
      </c>
      <c r="M307" s="46" t="b">
        <f t="shared" si="9"/>
        <v>0</v>
      </c>
    </row>
    <row r="308" spans="1:13" ht="93.6" x14ac:dyDescent="0.3">
      <c r="A308" s="46" t="s">
        <v>189</v>
      </c>
      <c r="B308" s="46" t="s">
        <v>698</v>
      </c>
      <c r="C308" s="46" t="s">
        <v>753</v>
      </c>
      <c r="D308" s="46" t="s">
        <v>56</v>
      </c>
      <c r="E308" s="46" t="str">
        <f>IFERROR(VLOOKUP(TRIM(D308), Collection!$B$2:$D$1001, 2, FALSE), "")</f>
        <v>Overseas dual time Blue</v>
      </c>
      <c r="F308" s="49" t="str">
        <f>IFERROR(VLOOKUP(TRIM(D308), Collection!$B$2:$D$1001, 3, FALSE), "")</f>
        <v>117,000 AED</v>
      </c>
      <c r="G308" s="49">
        <f t="shared" si="8"/>
        <v>117000</v>
      </c>
      <c r="H308" s="46" t="s">
        <v>192</v>
      </c>
      <c r="I308" s="46">
        <v>102505094</v>
      </c>
      <c r="J308" s="46" t="s">
        <v>193</v>
      </c>
      <c r="K308" s="46" t="s">
        <v>194</v>
      </c>
      <c r="L308" s="46" t="s">
        <v>1272</v>
      </c>
      <c r="M308" s="46" t="b">
        <f t="shared" si="9"/>
        <v>0</v>
      </c>
    </row>
    <row r="309" spans="1:13" ht="31.2" x14ac:dyDescent="0.3">
      <c r="A309" s="46" t="s">
        <v>189</v>
      </c>
      <c r="B309" s="46" t="s">
        <v>1128</v>
      </c>
      <c r="C309" s="46" t="s">
        <v>761</v>
      </c>
      <c r="D309" s="46" t="s">
        <v>120</v>
      </c>
      <c r="E309" s="46" t="str">
        <f>IFERROR(VLOOKUP(TRIM(D309), Collection!$B$2:$D$1001, 2, FALSE), "")</f>
        <v>Overseas self-winding</v>
      </c>
      <c r="F309" s="49" t="str">
        <f>IFERROR(VLOOKUP(TRIM(D309), Collection!$B$2:$D$1001, 3, FALSE), "")</f>
        <v>94,500 AED</v>
      </c>
      <c r="G309" s="49">
        <f t="shared" si="8"/>
        <v>94500</v>
      </c>
      <c r="H309" s="46" t="s">
        <v>192</v>
      </c>
      <c r="I309" s="46">
        <v>102442135</v>
      </c>
      <c r="J309" s="46" t="s">
        <v>193</v>
      </c>
      <c r="K309" s="46" t="s">
        <v>201</v>
      </c>
      <c r="L309" s="46"/>
      <c r="M309" s="46" t="b">
        <f t="shared" si="9"/>
        <v>0</v>
      </c>
    </row>
    <row r="310" spans="1:13" ht="31.2" x14ac:dyDescent="0.3">
      <c r="A310" s="46" t="s">
        <v>264</v>
      </c>
      <c r="B310" s="46" t="s">
        <v>264</v>
      </c>
      <c r="C310" s="46" t="s">
        <v>761</v>
      </c>
      <c r="D310" s="46" t="s">
        <v>633</v>
      </c>
      <c r="E310" s="46" t="str">
        <f>IFERROR(VLOOKUP(TRIM(D310), Collection!$B$2:$D$1001, 2, FALSE), "")</f>
        <v>Overseas self-winding</v>
      </c>
      <c r="F310" s="49" t="str">
        <f>IFERROR(VLOOKUP(TRIM(D310), Collection!$B$2:$D$1001, 3, FALSE), "")</f>
        <v>94,500 AED</v>
      </c>
      <c r="G310" s="49">
        <f t="shared" si="8"/>
        <v>94500</v>
      </c>
      <c r="H310" s="46" t="s">
        <v>192</v>
      </c>
      <c r="I310" s="46">
        <v>102442135</v>
      </c>
      <c r="J310" s="46" t="s">
        <v>193</v>
      </c>
      <c r="K310" s="46" t="s">
        <v>201</v>
      </c>
      <c r="L310" s="46" t="s">
        <v>1128</v>
      </c>
      <c r="M310" s="46" t="b">
        <f t="shared" si="9"/>
        <v>0</v>
      </c>
    </row>
    <row r="311" spans="1:13" ht="62.4" x14ac:dyDescent="0.3">
      <c r="A311" s="46" t="s">
        <v>189</v>
      </c>
      <c r="B311" s="46" t="s">
        <v>232</v>
      </c>
      <c r="C311" s="46" t="s">
        <v>762</v>
      </c>
      <c r="D311" s="46" t="s">
        <v>763</v>
      </c>
      <c r="E311" s="46" t="str">
        <f>IFERROR(VLOOKUP(TRIM(D311), Collection!$B$2:$D$1001, 2, FALSE), "")</f>
        <v>Overseas self-winding</v>
      </c>
      <c r="F311" s="49" t="str">
        <f>IFERROR(VLOOKUP(TRIM(D311), Collection!$B$2:$D$1001, 3, FALSE), "")</f>
        <v>87,500 AED</v>
      </c>
      <c r="G311" s="49">
        <f t="shared" si="8"/>
        <v>87500</v>
      </c>
      <c r="H311" s="46" t="s">
        <v>192</v>
      </c>
      <c r="I311" s="46">
        <v>102424724</v>
      </c>
      <c r="J311" s="46" t="s">
        <v>193</v>
      </c>
      <c r="K311" s="46" t="s">
        <v>194</v>
      </c>
      <c r="L311" s="46" t="s">
        <v>1273</v>
      </c>
      <c r="M311" s="46" t="b">
        <f t="shared" si="9"/>
        <v>0</v>
      </c>
    </row>
    <row r="312" spans="1:13" ht="46.8" x14ac:dyDescent="0.3">
      <c r="A312" s="46" t="s">
        <v>189</v>
      </c>
      <c r="B312" s="46" t="s">
        <v>229</v>
      </c>
      <c r="C312" s="46" t="s">
        <v>766</v>
      </c>
      <c r="D312" s="46" t="s">
        <v>120</v>
      </c>
      <c r="E312" s="46" t="str">
        <f>IFERROR(VLOOKUP(TRIM(D312), Collection!$B$2:$D$1001, 2, FALSE), "")</f>
        <v>Overseas self-winding</v>
      </c>
      <c r="F312" s="49" t="str">
        <f>IFERROR(VLOOKUP(TRIM(D312), Collection!$B$2:$D$1001, 3, FALSE), "")</f>
        <v>94,500 AED</v>
      </c>
      <c r="G312" s="49">
        <f t="shared" si="8"/>
        <v>94500</v>
      </c>
      <c r="H312" s="46" t="s">
        <v>192</v>
      </c>
      <c r="I312" s="46">
        <v>98700258</v>
      </c>
      <c r="J312" s="46" t="s">
        <v>193</v>
      </c>
      <c r="K312" s="46" t="s">
        <v>194</v>
      </c>
      <c r="L312" s="46" t="s">
        <v>1274</v>
      </c>
      <c r="M312" s="46" t="b">
        <f t="shared" si="9"/>
        <v>0</v>
      </c>
    </row>
    <row r="313" spans="1:13" ht="109.2" x14ac:dyDescent="0.3">
      <c r="A313" s="46" t="s">
        <v>189</v>
      </c>
      <c r="B313" s="46" t="s">
        <v>232</v>
      </c>
      <c r="C313" s="46" t="s">
        <v>766</v>
      </c>
      <c r="D313" s="46" t="s">
        <v>769</v>
      </c>
      <c r="E313" s="46" t="str">
        <f>IFERROR(VLOOKUP(TRIM(D313), Collection!$B$2:$D$1001, 2, FALSE), "")</f>
        <v>Overseas tourbillon</v>
      </c>
      <c r="F313" s="49" t="str">
        <f>IFERROR(VLOOKUP(TRIM(D313), Collection!$B$2:$D$1001, 3, FALSE), "")</f>
        <v>515,000 AED</v>
      </c>
      <c r="G313" s="49">
        <f t="shared" si="8"/>
        <v>515000</v>
      </c>
      <c r="H313" s="46" t="s">
        <v>192</v>
      </c>
      <c r="I313" s="46">
        <v>98700258</v>
      </c>
      <c r="J313" s="46" t="s">
        <v>193</v>
      </c>
      <c r="K313" s="46" t="s">
        <v>194</v>
      </c>
      <c r="L313" s="46" t="s">
        <v>1275</v>
      </c>
      <c r="M313" s="46" t="b">
        <f t="shared" si="9"/>
        <v>0</v>
      </c>
    </row>
    <row r="314" spans="1:13" ht="234" x14ac:dyDescent="0.3">
      <c r="A314" s="46" t="s">
        <v>189</v>
      </c>
      <c r="B314" s="46" t="s">
        <v>1128</v>
      </c>
      <c r="C314" s="46" t="s">
        <v>771</v>
      </c>
      <c r="D314" s="46" t="s">
        <v>120</v>
      </c>
      <c r="E314" s="46" t="str">
        <f>IFERROR(VLOOKUP(TRIM(D314), Collection!$B$2:$D$1001, 2, FALSE), "")</f>
        <v>Overseas self-winding</v>
      </c>
      <c r="F314" s="49" t="str">
        <f>IFERROR(VLOOKUP(TRIM(D314), Collection!$B$2:$D$1001, 3, FALSE), "")</f>
        <v>94,500 AED</v>
      </c>
      <c r="G314" s="49">
        <f t="shared" si="8"/>
        <v>94500</v>
      </c>
      <c r="H314" s="46" t="s">
        <v>192</v>
      </c>
      <c r="I314" s="46">
        <v>102395824</v>
      </c>
      <c r="J314" s="46" t="s">
        <v>193</v>
      </c>
      <c r="K314" s="46" t="s">
        <v>194</v>
      </c>
      <c r="L314" s="46" t="s">
        <v>1276</v>
      </c>
      <c r="M314" s="46" t="b">
        <f t="shared" si="9"/>
        <v>0</v>
      </c>
    </row>
    <row r="315" spans="1:13" ht="109.2" x14ac:dyDescent="0.3">
      <c r="A315" s="46" t="s">
        <v>264</v>
      </c>
      <c r="B315" s="46" t="s">
        <v>264</v>
      </c>
      <c r="C315" s="47">
        <v>45637</v>
      </c>
      <c r="D315" s="46" t="s">
        <v>147</v>
      </c>
      <c r="E315" s="46" t="str">
        <f>IFERROR(VLOOKUP(TRIM(D315), Collection!$B$2:$D$1001, 2, FALSE), "")</f>
        <v>Overseas dual time Green</v>
      </c>
      <c r="F315" s="49" t="str">
        <f>IFERROR(VLOOKUP(TRIM(D315), Collection!$B$2:$D$1001, 3, FALSE), "")</f>
        <v>286,000 AED</v>
      </c>
      <c r="G315" s="49">
        <f t="shared" si="8"/>
        <v>286000</v>
      </c>
      <c r="H315" s="46" t="s">
        <v>192</v>
      </c>
      <c r="I315" s="46">
        <v>102381381</v>
      </c>
      <c r="J315" s="46" t="s">
        <v>193</v>
      </c>
      <c r="K315" s="46" t="s">
        <v>201</v>
      </c>
      <c r="L315" s="46" t="s">
        <v>1277</v>
      </c>
      <c r="M315" s="46" t="b">
        <f t="shared" si="9"/>
        <v>0</v>
      </c>
    </row>
    <row r="316" spans="1:13" ht="31.2" x14ac:dyDescent="0.3">
      <c r="A316" s="46" t="s">
        <v>264</v>
      </c>
      <c r="B316" s="46" t="s">
        <v>264</v>
      </c>
      <c r="C316" s="47">
        <v>45546</v>
      </c>
      <c r="D316" s="46" t="s">
        <v>56</v>
      </c>
      <c r="E316" s="46" t="str">
        <f>IFERROR(VLOOKUP(TRIM(D316), Collection!$B$2:$D$1001, 2, FALSE), "")</f>
        <v>Overseas dual time Blue</v>
      </c>
      <c r="F316" s="49" t="str">
        <f>IFERROR(VLOOKUP(TRIM(D316), Collection!$B$2:$D$1001, 3, FALSE), "")</f>
        <v>117,000 AED</v>
      </c>
      <c r="G316" s="49">
        <f t="shared" si="8"/>
        <v>117000</v>
      </c>
      <c r="H316" s="46" t="s">
        <v>192</v>
      </c>
      <c r="I316" s="46">
        <v>92403624</v>
      </c>
      <c r="J316" s="46" t="s">
        <v>193</v>
      </c>
      <c r="K316" s="46" t="s">
        <v>201</v>
      </c>
      <c r="L316" s="46" t="s">
        <v>1128</v>
      </c>
      <c r="M316" s="46" t="b">
        <f t="shared" si="9"/>
        <v>0</v>
      </c>
    </row>
    <row r="317" spans="1:13" ht="31.2" x14ac:dyDescent="0.3">
      <c r="A317" s="46" t="s">
        <v>264</v>
      </c>
      <c r="B317" s="46" t="s">
        <v>264</v>
      </c>
      <c r="C317" s="47">
        <v>45484</v>
      </c>
      <c r="D317" s="46" t="s">
        <v>160</v>
      </c>
      <c r="E317" s="46" t="str">
        <f>IFERROR(VLOOKUP(TRIM(D317), Collection!$B$2:$D$1001, 2, FALSE), "")</f>
        <v>Overseas dual time Black</v>
      </c>
      <c r="F317" s="49" t="str">
        <f>IFERROR(VLOOKUP(TRIM(D317), Collection!$B$2:$D$1001, 3, FALSE), "")</f>
        <v>117,000 AED</v>
      </c>
      <c r="G317" s="49">
        <f t="shared" si="8"/>
        <v>117000</v>
      </c>
      <c r="H317" s="46" t="s">
        <v>192</v>
      </c>
      <c r="I317" s="46">
        <v>101641502</v>
      </c>
      <c r="J317" s="46" t="s">
        <v>193</v>
      </c>
      <c r="K317" s="46" t="s">
        <v>201</v>
      </c>
      <c r="L317" s="46" t="s">
        <v>1128</v>
      </c>
      <c r="M317" s="46" t="b">
        <f t="shared" si="9"/>
        <v>0</v>
      </c>
    </row>
    <row r="318" spans="1:13" ht="31.2" x14ac:dyDescent="0.3">
      <c r="A318" s="46" t="s">
        <v>264</v>
      </c>
      <c r="B318" s="46" t="s">
        <v>264</v>
      </c>
      <c r="C318" s="47">
        <v>45454</v>
      </c>
      <c r="D318" s="46" t="s">
        <v>56</v>
      </c>
      <c r="E318" s="46" t="str">
        <f>IFERROR(VLOOKUP(TRIM(D318), Collection!$B$2:$D$1001, 2, FALSE), "")</f>
        <v>Overseas dual time Blue</v>
      </c>
      <c r="F318" s="49" t="str">
        <f>IFERROR(VLOOKUP(TRIM(D318), Collection!$B$2:$D$1001, 3, FALSE), "")</f>
        <v>117,000 AED</v>
      </c>
      <c r="G318" s="49">
        <f t="shared" si="8"/>
        <v>117000</v>
      </c>
      <c r="H318" s="46" t="s">
        <v>192</v>
      </c>
      <c r="I318" s="46">
        <v>101987055</v>
      </c>
      <c r="J318" s="46" t="s">
        <v>193</v>
      </c>
      <c r="K318" s="46" t="s">
        <v>201</v>
      </c>
      <c r="L318" s="46" t="s">
        <v>1128</v>
      </c>
      <c r="M318" s="46" t="b">
        <f t="shared" si="9"/>
        <v>0</v>
      </c>
    </row>
    <row r="319" spans="1:13" ht="218.4" x14ac:dyDescent="0.3">
      <c r="A319" s="46" t="s">
        <v>189</v>
      </c>
      <c r="B319" s="46" t="s">
        <v>1128</v>
      </c>
      <c r="C319" s="47">
        <v>45423</v>
      </c>
      <c r="D319" s="46" t="s">
        <v>56</v>
      </c>
      <c r="E319" s="46" t="str">
        <f>IFERROR(VLOOKUP(TRIM(D319), Collection!$B$2:$D$1001, 2, FALSE), "")</f>
        <v>Overseas dual time Blue</v>
      </c>
      <c r="F319" s="49" t="str">
        <f>IFERROR(VLOOKUP(TRIM(D319), Collection!$B$2:$D$1001, 3, FALSE), "")</f>
        <v>117,000 AED</v>
      </c>
      <c r="G319" s="49">
        <f t="shared" si="8"/>
        <v>117000</v>
      </c>
      <c r="H319" s="46" t="s">
        <v>192</v>
      </c>
      <c r="I319" s="46">
        <v>98635975</v>
      </c>
      <c r="J319" s="46" t="s">
        <v>596</v>
      </c>
      <c r="K319" s="46" t="s">
        <v>194</v>
      </c>
      <c r="L319" s="46" t="s">
        <v>1278</v>
      </c>
      <c r="M319" s="46" t="b">
        <f t="shared" si="9"/>
        <v>0</v>
      </c>
    </row>
    <row r="320" spans="1:13" ht="62.4" x14ac:dyDescent="0.3">
      <c r="A320" s="46" t="s">
        <v>264</v>
      </c>
      <c r="B320" s="46" t="s">
        <v>264</v>
      </c>
      <c r="C320" s="47">
        <v>45423</v>
      </c>
      <c r="D320" s="46" t="s">
        <v>56</v>
      </c>
      <c r="E320" s="46" t="str">
        <f>IFERROR(VLOOKUP(TRIM(D320), Collection!$B$2:$D$1001, 2, FALSE), "")</f>
        <v>Overseas dual time Blue</v>
      </c>
      <c r="F320" s="49" t="str">
        <f>IFERROR(VLOOKUP(TRIM(D320), Collection!$B$2:$D$1001, 3, FALSE), "")</f>
        <v>117,000 AED</v>
      </c>
      <c r="G320" s="49">
        <f t="shared" si="8"/>
        <v>117000</v>
      </c>
      <c r="H320" s="46" t="s">
        <v>192</v>
      </c>
      <c r="I320" s="46">
        <v>92401119</v>
      </c>
      <c r="J320" s="46" t="s">
        <v>193</v>
      </c>
      <c r="K320" s="46" t="s">
        <v>204</v>
      </c>
      <c r="L320" s="46" t="s">
        <v>1279</v>
      </c>
      <c r="M320" s="46" t="b">
        <f t="shared" si="9"/>
        <v>0</v>
      </c>
    </row>
    <row r="321" spans="1:13" ht="46.8" x14ac:dyDescent="0.3">
      <c r="A321" s="46" t="s">
        <v>264</v>
      </c>
      <c r="B321" s="46" t="s">
        <v>264</v>
      </c>
      <c r="C321" s="47">
        <v>45423</v>
      </c>
      <c r="D321" s="46" t="s">
        <v>160</v>
      </c>
      <c r="E321" s="46" t="str">
        <f>IFERROR(VLOOKUP(TRIM(D321), Collection!$B$2:$D$1001, 2, FALSE), "")</f>
        <v>Overseas dual time Black</v>
      </c>
      <c r="F321" s="49" t="str">
        <f>IFERROR(VLOOKUP(TRIM(D321), Collection!$B$2:$D$1001, 3, FALSE), "")</f>
        <v>117,000 AED</v>
      </c>
      <c r="G321" s="49">
        <f t="shared" si="8"/>
        <v>117000</v>
      </c>
      <c r="H321" s="46" t="s">
        <v>192</v>
      </c>
      <c r="I321" s="46">
        <v>102281183</v>
      </c>
      <c r="J321" s="46" t="s">
        <v>193</v>
      </c>
      <c r="K321" s="46" t="s">
        <v>204</v>
      </c>
      <c r="L321" s="46" t="s">
        <v>1280</v>
      </c>
      <c r="M321" s="46" t="b">
        <f t="shared" si="9"/>
        <v>0</v>
      </c>
    </row>
    <row r="322" spans="1:13" ht="78" x14ac:dyDescent="0.3">
      <c r="A322" s="46" t="s">
        <v>189</v>
      </c>
      <c r="B322" s="46" t="s">
        <v>1128</v>
      </c>
      <c r="C322" s="47">
        <v>45423</v>
      </c>
      <c r="D322" s="46" t="s">
        <v>209</v>
      </c>
      <c r="E322" s="46" t="str">
        <f>IFERROR(VLOOKUP(TRIM(D322), Collection!$B$2:$D$1001, 2, FALSE), "")</f>
        <v>Overseas self-winding</v>
      </c>
      <c r="F322" s="49" t="str">
        <f>IFERROR(VLOOKUP(TRIM(D322), Collection!$B$2:$D$1001, 3, FALSE), "")</f>
        <v>94,500 AED</v>
      </c>
      <c r="G322" s="49">
        <f t="shared" ref="G322:G385" si="10">IFERROR(VALUE(SUBSTITUTE(SUBSTITUTE(F322, "Price", ""), "AED", "")), "")</f>
        <v>94500</v>
      </c>
      <c r="H322" s="46" t="s">
        <v>192</v>
      </c>
      <c r="I322" s="46">
        <v>98711501</v>
      </c>
      <c r="J322" s="46" t="s">
        <v>193</v>
      </c>
      <c r="K322" s="46" t="s">
        <v>194</v>
      </c>
      <c r="L322" s="46" t="s">
        <v>1281</v>
      </c>
      <c r="M322" s="46" t="b">
        <f t="shared" ref="M322:M385" si="11">IF(COUNTIF($R$3:$R$100, D322) &gt; 0, TRUE, FALSE)</f>
        <v>0</v>
      </c>
    </row>
    <row r="323" spans="1:13" ht="62.4" x14ac:dyDescent="0.3">
      <c r="A323" s="46" t="s">
        <v>189</v>
      </c>
      <c r="B323" s="46" t="s">
        <v>1128</v>
      </c>
      <c r="C323" s="47">
        <v>45333</v>
      </c>
      <c r="D323" s="46" t="s">
        <v>120</v>
      </c>
      <c r="E323" s="46" t="str">
        <f>IFERROR(VLOOKUP(TRIM(D323), Collection!$B$2:$D$1001, 2, FALSE), "")</f>
        <v>Overseas self-winding</v>
      </c>
      <c r="F323" s="49" t="str">
        <f>IFERROR(VLOOKUP(TRIM(D323), Collection!$B$2:$D$1001, 3, FALSE), "")</f>
        <v>94,500 AED</v>
      </c>
      <c r="G323" s="49">
        <f t="shared" si="10"/>
        <v>94500</v>
      </c>
      <c r="H323" s="46" t="s">
        <v>192</v>
      </c>
      <c r="I323" s="46">
        <v>102232596</v>
      </c>
      <c r="J323" s="46" t="s">
        <v>193</v>
      </c>
      <c r="K323" s="46" t="s">
        <v>194</v>
      </c>
      <c r="L323" s="46" t="s">
        <v>1282</v>
      </c>
      <c r="M323" s="46" t="b">
        <f t="shared" si="11"/>
        <v>0</v>
      </c>
    </row>
    <row r="324" spans="1:13" ht="46.8" x14ac:dyDescent="0.3">
      <c r="A324" s="46" t="s">
        <v>189</v>
      </c>
      <c r="B324" s="46" t="s">
        <v>1128</v>
      </c>
      <c r="C324" s="47">
        <v>45333</v>
      </c>
      <c r="D324" s="46" t="s">
        <v>56</v>
      </c>
      <c r="E324" s="46" t="str">
        <f>IFERROR(VLOOKUP(TRIM(D324), Collection!$B$2:$D$1001, 2, FALSE), "")</f>
        <v>Overseas dual time Blue</v>
      </c>
      <c r="F324" s="49" t="str">
        <f>IFERROR(VLOOKUP(TRIM(D324), Collection!$B$2:$D$1001, 3, FALSE), "")</f>
        <v>117,000 AED</v>
      </c>
      <c r="G324" s="49">
        <f t="shared" si="10"/>
        <v>117000</v>
      </c>
      <c r="H324" s="46" t="s">
        <v>192</v>
      </c>
      <c r="I324" s="46">
        <v>102220776</v>
      </c>
      <c r="J324" s="46" t="s">
        <v>193</v>
      </c>
      <c r="K324" s="46" t="s">
        <v>194</v>
      </c>
      <c r="L324" s="46" t="s">
        <v>1283</v>
      </c>
      <c r="M324" s="46" t="b">
        <f t="shared" si="11"/>
        <v>0</v>
      </c>
    </row>
    <row r="325" spans="1:13" ht="62.4" x14ac:dyDescent="0.3">
      <c r="A325" s="46" t="s">
        <v>264</v>
      </c>
      <c r="B325" s="46" t="s">
        <v>264</v>
      </c>
      <c r="C325" s="46" t="s">
        <v>797</v>
      </c>
      <c r="D325" s="46" t="s">
        <v>120</v>
      </c>
      <c r="E325" s="46" t="str">
        <f>IFERROR(VLOOKUP(TRIM(D325), Collection!$B$2:$D$1001, 2, FALSE), "")</f>
        <v>Overseas self-winding</v>
      </c>
      <c r="F325" s="49" t="str">
        <f>IFERROR(VLOOKUP(TRIM(D325), Collection!$B$2:$D$1001, 3, FALSE), "")</f>
        <v>94,500 AED</v>
      </c>
      <c r="G325" s="49">
        <f t="shared" si="10"/>
        <v>94500</v>
      </c>
      <c r="H325" s="46" t="s">
        <v>192</v>
      </c>
      <c r="I325" s="46">
        <v>102176002</v>
      </c>
      <c r="J325" s="46" t="s">
        <v>193</v>
      </c>
      <c r="K325" s="46" t="s">
        <v>194</v>
      </c>
      <c r="L325" s="46" t="s">
        <v>1284</v>
      </c>
      <c r="M325" s="46" t="b">
        <f t="shared" si="11"/>
        <v>0</v>
      </c>
    </row>
    <row r="326" spans="1:13" ht="31.2" x14ac:dyDescent="0.3">
      <c r="A326" s="46" t="s">
        <v>264</v>
      </c>
      <c r="B326" s="46" t="s">
        <v>264</v>
      </c>
      <c r="C326" s="46" t="s">
        <v>800</v>
      </c>
      <c r="D326" s="46" t="s">
        <v>241</v>
      </c>
      <c r="E326" s="46" t="str">
        <f>IFERROR(VLOOKUP(TRIM(D326), Collection!$B$2:$D$1001, 2, FALSE), "")</f>
        <v>Overseas chronograph</v>
      </c>
      <c r="F326" s="49" t="str">
        <f>IFERROR(VLOOKUP(TRIM(D326), Collection!$B$2:$D$1001, 3, FALSE), "")</f>
        <v>135,000 AED</v>
      </c>
      <c r="G326" s="49">
        <f t="shared" si="10"/>
        <v>135000</v>
      </c>
      <c r="H326" s="46" t="s">
        <v>192</v>
      </c>
      <c r="I326" s="46">
        <v>102193096</v>
      </c>
      <c r="J326" s="46" t="s">
        <v>193</v>
      </c>
      <c r="K326" s="46" t="s">
        <v>201</v>
      </c>
      <c r="L326" s="46" t="s">
        <v>1128</v>
      </c>
      <c r="M326" s="46" t="b">
        <f t="shared" si="11"/>
        <v>0</v>
      </c>
    </row>
    <row r="327" spans="1:13" ht="31.2" x14ac:dyDescent="0.3">
      <c r="A327" s="46" t="s">
        <v>189</v>
      </c>
      <c r="B327" s="46" t="s">
        <v>1128</v>
      </c>
      <c r="C327" s="46" t="s">
        <v>800</v>
      </c>
      <c r="D327" s="46" t="s">
        <v>56</v>
      </c>
      <c r="E327" s="46" t="str">
        <f>IFERROR(VLOOKUP(TRIM(D327), Collection!$B$2:$D$1001, 2, FALSE), "")</f>
        <v>Overseas dual time Blue</v>
      </c>
      <c r="F327" s="49" t="str">
        <f>IFERROR(VLOOKUP(TRIM(D327), Collection!$B$2:$D$1001, 3, FALSE), "")</f>
        <v>117,000 AED</v>
      </c>
      <c r="G327" s="49">
        <f t="shared" si="10"/>
        <v>117000</v>
      </c>
      <c r="H327" s="46" t="s">
        <v>192</v>
      </c>
      <c r="I327" s="46">
        <v>102193096</v>
      </c>
      <c r="J327" s="46" t="s">
        <v>193</v>
      </c>
      <c r="K327" s="46" t="s">
        <v>201</v>
      </c>
      <c r="L327" s="46" t="s">
        <v>1128</v>
      </c>
      <c r="M327" s="46" t="b">
        <f t="shared" si="11"/>
        <v>0</v>
      </c>
    </row>
    <row r="328" spans="1:13" ht="31.2" x14ac:dyDescent="0.3">
      <c r="A328" s="46" t="s">
        <v>189</v>
      </c>
      <c r="B328" s="46" t="s">
        <v>1128</v>
      </c>
      <c r="C328" s="46" t="s">
        <v>800</v>
      </c>
      <c r="D328" s="46" t="s">
        <v>120</v>
      </c>
      <c r="E328" s="46" t="str">
        <f>IFERROR(VLOOKUP(TRIM(D328), Collection!$B$2:$D$1001, 2, FALSE), "")</f>
        <v>Overseas self-winding</v>
      </c>
      <c r="F328" s="49" t="str">
        <f>IFERROR(VLOOKUP(TRIM(D328), Collection!$B$2:$D$1001, 3, FALSE), "")</f>
        <v>94,500 AED</v>
      </c>
      <c r="G328" s="49">
        <f t="shared" si="10"/>
        <v>94500</v>
      </c>
      <c r="H328" s="46" t="s">
        <v>192</v>
      </c>
      <c r="I328" s="46">
        <v>102176002</v>
      </c>
      <c r="J328" s="46" t="s">
        <v>193</v>
      </c>
      <c r="K328" s="46" t="s">
        <v>194</v>
      </c>
      <c r="L328" s="46" t="s">
        <v>1128</v>
      </c>
      <c r="M328" s="46" t="b">
        <f t="shared" si="11"/>
        <v>0</v>
      </c>
    </row>
    <row r="329" spans="1:13" ht="62.4" x14ac:dyDescent="0.3">
      <c r="A329" s="46" t="s">
        <v>264</v>
      </c>
      <c r="B329" s="46" t="s">
        <v>264</v>
      </c>
      <c r="C329" s="46" t="s">
        <v>800</v>
      </c>
      <c r="D329" s="46" t="s">
        <v>802</v>
      </c>
      <c r="E329" s="46" t="str">
        <f>IFERROR(VLOOKUP(TRIM(D329), Collection!$B$2:$D$1001, 2, FALSE), "")</f>
        <v>Overseas tourbillon</v>
      </c>
      <c r="F329" s="49" t="str">
        <f>IFERROR(VLOOKUP(TRIM(D329), Collection!$B$2:$D$1001, 3, FALSE), "")</f>
        <v>580,000 AED</v>
      </c>
      <c r="G329" s="49">
        <f t="shared" si="10"/>
        <v>580000</v>
      </c>
      <c r="H329" s="46" t="s">
        <v>192</v>
      </c>
      <c r="I329" s="46">
        <v>102113813</v>
      </c>
      <c r="J329" s="46" t="s">
        <v>193</v>
      </c>
      <c r="K329" s="46" t="s">
        <v>194</v>
      </c>
      <c r="L329" s="46" t="s">
        <v>1285</v>
      </c>
      <c r="M329" s="46" t="b">
        <f t="shared" si="11"/>
        <v>0</v>
      </c>
    </row>
    <row r="330" spans="1:13" ht="93.6" x14ac:dyDescent="0.3">
      <c r="A330" s="46" t="s">
        <v>189</v>
      </c>
      <c r="B330" s="46" t="s">
        <v>1128</v>
      </c>
      <c r="C330" s="46" t="s">
        <v>805</v>
      </c>
      <c r="D330" s="46" t="s">
        <v>120</v>
      </c>
      <c r="E330" s="46" t="str">
        <f>IFERROR(VLOOKUP(TRIM(D330), Collection!$B$2:$D$1001, 2, FALSE), "")</f>
        <v>Overseas self-winding</v>
      </c>
      <c r="F330" s="49" t="str">
        <f>IFERROR(VLOOKUP(TRIM(D330), Collection!$B$2:$D$1001, 3, FALSE), "")</f>
        <v>94,500 AED</v>
      </c>
      <c r="G330" s="49">
        <f t="shared" si="10"/>
        <v>94500</v>
      </c>
      <c r="H330" s="46" t="s">
        <v>192</v>
      </c>
      <c r="I330" s="46">
        <v>0</v>
      </c>
      <c r="J330" s="46" t="s">
        <v>193</v>
      </c>
      <c r="K330" s="46" t="s">
        <v>194</v>
      </c>
      <c r="L330" s="46" t="s">
        <v>1286</v>
      </c>
      <c r="M330" s="46" t="b">
        <f t="shared" si="11"/>
        <v>0</v>
      </c>
    </row>
    <row r="331" spans="1:13" ht="93.6" x14ac:dyDescent="0.3">
      <c r="A331" s="46" t="s">
        <v>189</v>
      </c>
      <c r="B331" s="46" t="s">
        <v>1128</v>
      </c>
      <c r="C331" s="46" t="s">
        <v>808</v>
      </c>
      <c r="D331" s="46" t="s">
        <v>120</v>
      </c>
      <c r="E331" s="46" t="str">
        <f>IFERROR(VLOOKUP(TRIM(D331), Collection!$B$2:$D$1001, 2, FALSE), "")</f>
        <v>Overseas self-winding</v>
      </c>
      <c r="F331" s="49" t="str">
        <f>IFERROR(VLOOKUP(TRIM(D331), Collection!$B$2:$D$1001, 3, FALSE), "")</f>
        <v>94,500 AED</v>
      </c>
      <c r="G331" s="49">
        <f t="shared" si="10"/>
        <v>94500</v>
      </c>
      <c r="H331" s="46" t="s">
        <v>192</v>
      </c>
      <c r="I331" s="46">
        <v>102113813</v>
      </c>
      <c r="J331" s="46" t="s">
        <v>193</v>
      </c>
      <c r="K331" s="46" t="s">
        <v>194</v>
      </c>
      <c r="L331" s="46" t="s">
        <v>1287</v>
      </c>
      <c r="M331" s="46" t="b">
        <f t="shared" si="11"/>
        <v>0</v>
      </c>
    </row>
    <row r="332" spans="1:13" ht="31.2" x14ac:dyDescent="0.3">
      <c r="A332" s="46" t="s">
        <v>264</v>
      </c>
      <c r="B332" s="46" t="s">
        <v>264</v>
      </c>
      <c r="C332" s="46" t="s">
        <v>808</v>
      </c>
      <c r="D332" s="46" t="s">
        <v>633</v>
      </c>
      <c r="E332" s="46" t="str">
        <f>IFERROR(VLOOKUP(TRIM(D332), Collection!$B$2:$D$1001, 2, FALSE), "")</f>
        <v>Overseas self-winding</v>
      </c>
      <c r="F332" s="49" t="str">
        <f>IFERROR(VLOOKUP(TRIM(D332), Collection!$B$2:$D$1001, 3, FALSE), "")</f>
        <v>94,500 AED</v>
      </c>
      <c r="G332" s="49">
        <f t="shared" si="10"/>
        <v>94500</v>
      </c>
      <c r="H332" s="46" t="s">
        <v>192</v>
      </c>
      <c r="I332" s="46">
        <v>101917600</v>
      </c>
      <c r="J332" s="46" t="s">
        <v>193</v>
      </c>
      <c r="K332" s="46" t="s">
        <v>201</v>
      </c>
      <c r="L332" s="46" t="s">
        <v>1128</v>
      </c>
      <c r="M332" s="46" t="b">
        <f t="shared" si="11"/>
        <v>0</v>
      </c>
    </row>
    <row r="333" spans="1:13" ht="31.2" x14ac:dyDescent="0.3">
      <c r="A333" s="46" t="s">
        <v>264</v>
      </c>
      <c r="B333" s="46" t="s">
        <v>264</v>
      </c>
      <c r="C333" s="46" t="s">
        <v>810</v>
      </c>
      <c r="D333" s="46" t="s">
        <v>56</v>
      </c>
      <c r="E333" s="46" t="str">
        <f>IFERROR(VLOOKUP(TRIM(D333), Collection!$B$2:$D$1001, 2, FALSE), "")</f>
        <v>Overseas dual time Blue</v>
      </c>
      <c r="F333" s="49" t="str">
        <f>IFERROR(VLOOKUP(TRIM(D333), Collection!$B$2:$D$1001, 3, FALSE), "")</f>
        <v>117,000 AED</v>
      </c>
      <c r="G333" s="49">
        <f t="shared" si="10"/>
        <v>117000</v>
      </c>
      <c r="H333" s="46" t="s">
        <v>192</v>
      </c>
      <c r="I333" s="46">
        <v>101917600</v>
      </c>
      <c r="J333" s="46" t="s">
        <v>193</v>
      </c>
      <c r="K333" s="46" t="s">
        <v>201</v>
      </c>
      <c r="L333" s="46" t="s">
        <v>1128</v>
      </c>
      <c r="M333" s="46" t="b">
        <f t="shared" si="11"/>
        <v>0</v>
      </c>
    </row>
    <row r="334" spans="1:13" ht="31.2" x14ac:dyDescent="0.3">
      <c r="A334" s="46" t="s">
        <v>264</v>
      </c>
      <c r="B334" s="46" t="s">
        <v>264</v>
      </c>
      <c r="C334" s="46" t="s">
        <v>810</v>
      </c>
      <c r="D334" s="46" t="s">
        <v>120</v>
      </c>
      <c r="E334" s="46" t="str">
        <f>IFERROR(VLOOKUP(TRIM(D334), Collection!$B$2:$D$1001, 2, FALSE), "")</f>
        <v>Overseas self-winding</v>
      </c>
      <c r="F334" s="49" t="str">
        <f>IFERROR(VLOOKUP(TRIM(D334), Collection!$B$2:$D$1001, 3, FALSE), "")</f>
        <v>94,500 AED</v>
      </c>
      <c r="G334" s="49">
        <f t="shared" si="10"/>
        <v>94500</v>
      </c>
      <c r="H334" s="46" t="s">
        <v>192</v>
      </c>
      <c r="I334" s="46">
        <v>101917600</v>
      </c>
      <c r="J334" s="46" t="s">
        <v>193</v>
      </c>
      <c r="K334" s="46" t="s">
        <v>201</v>
      </c>
      <c r="L334" s="46" t="s">
        <v>1128</v>
      </c>
      <c r="M334" s="46" t="b">
        <f t="shared" si="11"/>
        <v>0</v>
      </c>
    </row>
    <row r="335" spans="1:13" ht="31.2" x14ac:dyDescent="0.3">
      <c r="A335" s="46" t="s">
        <v>189</v>
      </c>
      <c r="B335" s="46" t="s">
        <v>1128</v>
      </c>
      <c r="C335" s="46" t="s">
        <v>811</v>
      </c>
      <c r="D335" s="46" t="s">
        <v>120</v>
      </c>
      <c r="E335" s="46" t="str">
        <f>IFERROR(VLOOKUP(TRIM(D335), Collection!$B$2:$D$1001, 2, FALSE), "")</f>
        <v>Overseas self-winding</v>
      </c>
      <c r="F335" s="49" t="str">
        <f>IFERROR(VLOOKUP(TRIM(D335), Collection!$B$2:$D$1001, 3, FALSE), "")</f>
        <v>94,500 AED</v>
      </c>
      <c r="G335" s="49">
        <f t="shared" si="10"/>
        <v>94500</v>
      </c>
      <c r="H335" s="46" t="s">
        <v>192</v>
      </c>
      <c r="I335" s="46">
        <v>102076880</v>
      </c>
      <c r="J335" s="46" t="s">
        <v>193</v>
      </c>
      <c r="K335" s="46" t="s">
        <v>201</v>
      </c>
      <c r="L335" s="46" t="s">
        <v>1128</v>
      </c>
      <c r="M335" s="46" t="b">
        <f t="shared" si="11"/>
        <v>0</v>
      </c>
    </row>
    <row r="336" spans="1:13" ht="31.2" x14ac:dyDescent="0.3">
      <c r="A336" s="46" t="s">
        <v>69</v>
      </c>
      <c r="B336" s="46" t="s">
        <v>229</v>
      </c>
      <c r="C336" s="46" t="s">
        <v>811</v>
      </c>
      <c r="D336" s="46" t="s">
        <v>686</v>
      </c>
      <c r="E336" s="46" t="str">
        <f>IFERROR(VLOOKUP(TRIM(D336), Collection!$B$2:$D$1001, 2, FALSE), "")</f>
        <v>Overseas chronograph</v>
      </c>
      <c r="F336" s="49" t="str">
        <f>IFERROR(VLOOKUP(TRIM(D336), Collection!$B$2:$D$1001, 3, FALSE), "")</f>
        <v>135,000 AED</v>
      </c>
      <c r="G336" s="49">
        <f t="shared" si="10"/>
        <v>135000</v>
      </c>
      <c r="H336" s="46" t="s">
        <v>192</v>
      </c>
      <c r="I336" s="46">
        <v>102078501</v>
      </c>
      <c r="J336" s="46" t="s">
        <v>193</v>
      </c>
      <c r="K336" s="46" t="s">
        <v>204</v>
      </c>
      <c r="L336" s="46" t="s">
        <v>1128</v>
      </c>
      <c r="M336" s="46" t="b">
        <f t="shared" si="11"/>
        <v>0</v>
      </c>
    </row>
    <row r="337" spans="1:13" ht="93.6" x14ac:dyDescent="0.3">
      <c r="A337" s="46" t="s">
        <v>189</v>
      </c>
      <c r="B337" s="46" t="s">
        <v>229</v>
      </c>
      <c r="C337" s="46" t="s">
        <v>814</v>
      </c>
      <c r="D337" s="46" t="s">
        <v>56</v>
      </c>
      <c r="E337" s="46" t="str">
        <f>IFERROR(VLOOKUP(TRIM(D337), Collection!$B$2:$D$1001, 2, FALSE), "")</f>
        <v>Overseas dual time Blue</v>
      </c>
      <c r="F337" s="49" t="str">
        <f>IFERROR(VLOOKUP(TRIM(D337), Collection!$B$2:$D$1001, 3, FALSE), "")</f>
        <v>117,000 AED</v>
      </c>
      <c r="G337" s="49">
        <f t="shared" si="10"/>
        <v>117000</v>
      </c>
      <c r="H337" s="46" t="s">
        <v>192</v>
      </c>
      <c r="I337" s="46">
        <v>98711501</v>
      </c>
      <c r="J337" s="46" t="s">
        <v>193</v>
      </c>
      <c r="K337" s="46" t="s">
        <v>194</v>
      </c>
      <c r="L337" s="46" t="s">
        <v>1288</v>
      </c>
      <c r="M337" s="46" t="b">
        <f t="shared" si="11"/>
        <v>0</v>
      </c>
    </row>
    <row r="338" spans="1:13" ht="78" x14ac:dyDescent="0.3">
      <c r="A338" s="46" t="s">
        <v>189</v>
      </c>
      <c r="B338" s="46" t="s">
        <v>1128</v>
      </c>
      <c r="C338" s="46" t="s">
        <v>816</v>
      </c>
      <c r="D338" s="46" t="s">
        <v>120</v>
      </c>
      <c r="E338" s="46" t="str">
        <f>IFERROR(VLOOKUP(TRIM(D338), Collection!$B$2:$D$1001, 2, FALSE), "")</f>
        <v>Overseas self-winding</v>
      </c>
      <c r="F338" s="49" t="str">
        <f>IFERROR(VLOOKUP(TRIM(D338), Collection!$B$2:$D$1001, 3, FALSE), "")</f>
        <v>94,500 AED</v>
      </c>
      <c r="G338" s="49">
        <f t="shared" si="10"/>
        <v>94500</v>
      </c>
      <c r="H338" s="46" t="s">
        <v>192</v>
      </c>
      <c r="I338" s="46">
        <v>0</v>
      </c>
      <c r="J338" s="46" t="s">
        <v>193</v>
      </c>
      <c r="K338" s="46" t="s">
        <v>194</v>
      </c>
      <c r="L338" s="46" t="s">
        <v>1289</v>
      </c>
      <c r="M338" s="46" t="b">
        <f t="shared" si="11"/>
        <v>0</v>
      </c>
    </row>
    <row r="339" spans="1:13" ht="31.2" x14ac:dyDescent="0.3">
      <c r="A339" s="46" t="s">
        <v>189</v>
      </c>
      <c r="B339" s="46" t="s">
        <v>1128</v>
      </c>
      <c r="C339" s="46" t="s">
        <v>816</v>
      </c>
      <c r="D339" s="46" t="s">
        <v>120</v>
      </c>
      <c r="E339" s="46" t="str">
        <f>IFERROR(VLOOKUP(TRIM(D339), Collection!$B$2:$D$1001, 2, FALSE), "")</f>
        <v>Overseas self-winding</v>
      </c>
      <c r="F339" s="49" t="str">
        <f>IFERROR(VLOOKUP(TRIM(D339), Collection!$B$2:$D$1001, 3, FALSE), "")</f>
        <v>94,500 AED</v>
      </c>
      <c r="G339" s="49">
        <f t="shared" si="10"/>
        <v>94500</v>
      </c>
      <c r="H339" s="46" t="s">
        <v>192</v>
      </c>
      <c r="I339" s="46">
        <v>102015200</v>
      </c>
      <c r="J339" s="46" t="s">
        <v>193</v>
      </c>
      <c r="K339" s="46" t="s">
        <v>201</v>
      </c>
      <c r="L339" s="46" t="s">
        <v>1128</v>
      </c>
      <c r="M339" s="46" t="b">
        <f t="shared" si="11"/>
        <v>0</v>
      </c>
    </row>
    <row r="340" spans="1:13" ht="62.4" x14ac:dyDescent="0.3">
      <c r="A340" s="46" t="s">
        <v>819</v>
      </c>
      <c r="B340" s="46" t="s">
        <v>229</v>
      </c>
      <c r="C340" s="46" t="s">
        <v>820</v>
      </c>
      <c r="D340" s="46" t="s">
        <v>821</v>
      </c>
      <c r="E340" s="46" t="str">
        <f>IFERROR(VLOOKUP(TRIM(D340), Collection!$B$2:$D$1001, 2, FALSE), "")</f>
        <v>Overseas perpetual calendar ultra-thin</v>
      </c>
      <c r="F340" s="49" t="str">
        <f>IFERROR(VLOOKUP(TRIM(D340), Collection!$B$2:$D$1001, 3, FALSE), "")</f>
        <v>442,000 AED</v>
      </c>
      <c r="G340" s="49">
        <f t="shared" si="10"/>
        <v>442000</v>
      </c>
      <c r="H340" s="46" t="s">
        <v>192</v>
      </c>
      <c r="I340" s="46">
        <v>101987118</v>
      </c>
      <c r="J340" s="46" t="s">
        <v>193</v>
      </c>
      <c r="K340" s="46" t="s">
        <v>201</v>
      </c>
      <c r="L340" s="46" t="s">
        <v>1128</v>
      </c>
      <c r="M340" s="46" t="b">
        <f t="shared" si="11"/>
        <v>0</v>
      </c>
    </row>
    <row r="341" spans="1:13" ht="31.2" x14ac:dyDescent="0.3">
      <c r="A341" s="46" t="s">
        <v>264</v>
      </c>
      <c r="B341" s="46" t="s">
        <v>264</v>
      </c>
      <c r="C341" s="46" t="s">
        <v>823</v>
      </c>
      <c r="D341" s="46" t="s">
        <v>241</v>
      </c>
      <c r="E341" s="46" t="str">
        <f>IFERROR(VLOOKUP(TRIM(D341), Collection!$B$2:$D$1001, 2, FALSE), "")</f>
        <v>Overseas chronograph</v>
      </c>
      <c r="F341" s="49" t="str">
        <f>IFERROR(VLOOKUP(TRIM(D341), Collection!$B$2:$D$1001, 3, FALSE), "")</f>
        <v>135,000 AED</v>
      </c>
      <c r="G341" s="49">
        <f t="shared" si="10"/>
        <v>135000</v>
      </c>
      <c r="H341" s="46" t="s">
        <v>192</v>
      </c>
      <c r="I341" s="46">
        <v>97412230</v>
      </c>
      <c r="J341" s="46" t="s">
        <v>193</v>
      </c>
      <c r="K341" s="46" t="s">
        <v>204</v>
      </c>
      <c r="L341" s="46" t="s">
        <v>1290</v>
      </c>
      <c r="M341" s="46" t="b">
        <f t="shared" si="11"/>
        <v>0</v>
      </c>
    </row>
    <row r="342" spans="1:13" ht="31.2" x14ac:dyDescent="0.3">
      <c r="A342" s="46" t="s">
        <v>69</v>
      </c>
      <c r="B342" s="46" t="s">
        <v>229</v>
      </c>
      <c r="C342" s="46" t="s">
        <v>823</v>
      </c>
      <c r="D342" s="46" t="s">
        <v>89</v>
      </c>
      <c r="E342" s="46" t="str">
        <f>IFERROR(VLOOKUP(TRIM(D342), Collection!$B$2:$D$1001, 2, FALSE), "")</f>
        <v>Fiftysix self-winding</v>
      </c>
      <c r="F342" s="49" t="str">
        <f>IFERROR(VLOOKUP(TRIM(D342), Collection!$B$2:$D$1001, 3, FALSE), "")</f>
        <v>48,000 AED</v>
      </c>
      <c r="G342" s="49">
        <f t="shared" si="10"/>
        <v>48000</v>
      </c>
      <c r="H342" s="46" t="s">
        <v>192</v>
      </c>
      <c r="I342" s="46">
        <v>101319151</v>
      </c>
      <c r="J342" s="46" t="s">
        <v>193</v>
      </c>
      <c r="K342" s="46" t="s">
        <v>201</v>
      </c>
      <c r="L342" s="46" t="s">
        <v>1128</v>
      </c>
      <c r="M342" s="46" t="b">
        <f t="shared" si="11"/>
        <v>1</v>
      </c>
    </row>
    <row r="343" spans="1:13" ht="234" x14ac:dyDescent="0.3">
      <c r="A343" s="46" t="s">
        <v>69</v>
      </c>
      <c r="B343" s="46" t="s">
        <v>229</v>
      </c>
      <c r="C343" s="46" t="s">
        <v>823</v>
      </c>
      <c r="D343" s="46" t="s">
        <v>128</v>
      </c>
      <c r="E343" s="46" t="str">
        <f>IFERROR(VLOOKUP(TRIM(D343), Collection!$B$2:$D$1001, 2, FALSE), "")</f>
        <v>Overseas chronograph Pink Gold</v>
      </c>
      <c r="F343" s="49" t="str">
        <f>IFERROR(VLOOKUP(TRIM(D343), Collection!$B$2:$D$1001, 3, FALSE), "")</f>
        <v>299,000 AED</v>
      </c>
      <c r="G343" s="49">
        <f t="shared" si="10"/>
        <v>299000</v>
      </c>
      <c r="H343" s="46" t="s">
        <v>192</v>
      </c>
      <c r="I343" s="46">
        <v>101923321</v>
      </c>
      <c r="J343" s="46" t="s">
        <v>193</v>
      </c>
      <c r="K343" s="46" t="s">
        <v>194</v>
      </c>
      <c r="L343" s="46" t="s">
        <v>1291</v>
      </c>
      <c r="M343" s="46" t="b">
        <f t="shared" si="11"/>
        <v>1</v>
      </c>
    </row>
    <row r="344" spans="1:13" ht="78" x14ac:dyDescent="0.3">
      <c r="A344" s="46" t="s">
        <v>264</v>
      </c>
      <c r="B344" s="46" t="s">
        <v>264</v>
      </c>
      <c r="C344" s="46" t="s">
        <v>823</v>
      </c>
      <c r="D344" s="46" t="s">
        <v>147</v>
      </c>
      <c r="E344" s="46" t="str">
        <f>IFERROR(VLOOKUP(TRIM(D344), Collection!$B$2:$D$1001, 2, FALSE), "")</f>
        <v>Overseas dual time Green</v>
      </c>
      <c r="F344" s="49" t="str">
        <f>IFERROR(VLOOKUP(TRIM(D344), Collection!$B$2:$D$1001, 3, FALSE), "")</f>
        <v>286,000 AED</v>
      </c>
      <c r="G344" s="49">
        <f t="shared" si="10"/>
        <v>286000</v>
      </c>
      <c r="H344" s="46" t="s">
        <v>192</v>
      </c>
      <c r="I344" s="46">
        <v>101923321</v>
      </c>
      <c r="J344" s="46" t="s">
        <v>193</v>
      </c>
      <c r="K344" s="46" t="s">
        <v>194</v>
      </c>
      <c r="L344" s="46" t="s">
        <v>1292</v>
      </c>
      <c r="M344" s="46" t="b">
        <f t="shared" si="11"/>
        <v>0</v>
      </c>
    </row>
    <row r="345" spans="1:13" ht="46.8" x14ac:dyDescent="0.3">
      <c r="A345" s="46" t="s">
        <v>264</v>
      </c>
      <c r="B345" s="46" t="s">
        <v>264</v>
      </c>
      <c r="C345" s="46" t="s">
        <v>823</v>
      </c>
      <c r="D345" s="46" t="s">
        <v>830</v>
      </c>
      <c r="E345" s="46" t="str">
        <f>IFERROR(VLOOKUP(TRIM(D345), Collection!$B$2:$D$1001, 2, FALSE), "")</f>
        <v>Historiques American 1921</v>
      </c>
      <c r="F345" s="49" t="str">
        <f>IFERROR(VLOOKUP(TRIM(D345), Collection!$B$2:$D$1001, 3, FALSE), "")</f>
        <v>153,000 AED</v>
      </c>
      <c r="G345" s="49">
        <f t="shared" si="10"/>
        <v>153000</v>
      </c>
      <c r="H345" s="46" t="s">
        <v>192</v>
      </c>
      <c r="I345" s="46">
        <v>101952731</v>
      </c>
      <c r="J345" s="46" t="s">
        <v>193</v>
      </c>
      <c r="K345" s="46" t="s">
        <v>194</v>
      </c>
      <c r="L345" s="46" t="s">
        <v>1293</v>
      </c>
      <c r="M345" s="46" t="b">
        <f t="shared" si="11"/>
        <v>0</v>
      </c>
    </row>
    <row r="346" spans="1:13" ht="31.2" x14ac:dyDescent="0.3">
      <c r="A346" s="46" t="s">
        <v>189</v>
      </c>
      <c r="B346" s="46" t="s">
        <v>1128</v>
      </c>
      <c r="C346" s="46" t="s">
        <v>833</v>
      </c>
      <c r="D346" s="46" t="s">
        <v>56</v>
      </c>
      <c r="E346" s="46" t="str">
        <f>IFERROR(VLOOKUP(TRIM(D346), Collection!$B$2:$D$1001, 2, FALSE), "")</f>
        <v>Overseas dual time Blue</v>
      </c>
      <c r="F346" s="49" t="str">
        <f>IFERROR(VLOOKUP(TRIM(D346), Collection!$B$2:$D$1001, 3, FALSE), "")</f>
        <v>117,000 AED</v>
      </c>
      <c r="G346" s="49">
        <f t="shared" si="10"/>
        <v>117000</v>
      </c>
      <c r="H346" s="46" t="s">
        <v>192</v>
      </c>
      <c r="I346" s="46">
        <v>92407429</v>
      </c>
      <c r="J346" s="46" t="s">
        <v>193</v>
      </c>
      <c r="K346" s="46" t="s">
        <v>201</v>
      </c>
      <c r="L346" s="46" t="s">
        <v>1128</v>
      </c>
      <c r="M346" s="46" t="b">
        <f t="shared" si="11"/>
        <v>0</v>
      </c>
    </row>
    <row r="347" spans="1:13" ht="124.8" x14ac:dyDescent="0.3">
      <c r="A347" s="46" t="s">
        <v>189</v>
      </c>
      <c r="B347" s="46" t="s">
        <v>232</v>
      </c>
      <c r="C347" s="46" t="s">
        <v>833</v>
      </c>
      <c r="D347" s="46" t="s">
        <v>132</v>
      </c>
      <c r="E347" s="46" t="str">
        <f>IFERROR(VLOOKUP(TRIM(D347), Collection!$B$2:$D$1001, 2, FALSE), "")</f>
        <v>Overseas moon phase retrograde date</v>
      </c>
      <c r="F347" s="49" t="str">
        <f>IFERROR(VLOOKUP(TRIM(D347), Collection!$B$2:$D$1001, 3, FALSE), "")</f>
        <v>166,000 AED</v>
      </c>
      <c r="G347" s="49">
        <f t="shared" si="10"/>
        <v>166000</v>
      </c>
      <c r="H347" s="46" t="s">
        <v>192</v>
      </c>
      <c r="I347" s="46">
        <v>102003092</v>
      </c>
      <c r="J347" s="46" t="s">
        <v>193</v>
      </c>
      <c r="K347" s="46" t="s">
        <v>194</v>
      </c>
      <c r="L347" s="46" t="s">
        <v>1294</v>
      </c>
      <c r="M347" s="46" t="b">
        <f t="shared" si="11"/>
        <v>0</v>
      </c>
    </row>
    <row r="348" spans="1:13" ht="62.4" x14ac:dyDescent="0.3">
      <c r="A348" s="46" t="s">
        <v>69</v>
      </c>
      <c r="B348" s="46" t="s">
        <v>229</v>
      </c>
      <c r="C348" s="46" t="s">
        <v>836</v>
      </c>
      <c r="D348" s="46" t="s">
        <v>120</v>
      </c>
      <c r="E348" s="46" t="str">
        <f>IFERROR(VLOOKUP(TRIM(D348), Collection!$B$2:$D$1001, 2, FALSE), "")</f>
        <v>Overseas self-winding</v>
      </c>
      <c r="F348" s="49" t="str">
        <f>IFERROR(VLOOKUP(TRIM(D348), Collection!$B$2:$D$1001, 3, FALSE), "")</f>
        <v>94,500 AED</v>
      </c>
      <c r="G348" s="49">
        <f t="shared" si="10"/>
        <v>94500</v>
      </c>
      <c r="H348" s="46" t="s">
        <v>192</v>
      </c>
      <c r="I348" s="46">
        <v>101705197</v>
      </c>
      <c r="J348" s="46" t="s">
        <v>193</v>
      </c>
      <c r="K348" s="46" t="s">
        <v>201</v>
      </c>
      <c r="L348" s="46" t="s">
        <v>1295</v>
      </c>
      <c r="M348" s="46" t="b">
        <f t="shared" si="11"/>
        <v>0</v>
      </c>
    </row>
    <row r="349" spans="1:13" ht="124.8" x14ac:dyDescent="0.3">
      <c r="A349" s="46" t="s">
        <v>264</v>
      </c>
      <c r="B349" s="46" t="s">
        <v>264</v>
      </c>
      <c r="C349" s="46" t="s">
        <v>836</v>
      </c>
      <c r="D349" s="46" t="s">
        <v>16</v>
      </c>
      <c r="E349" s="46" t="str">
        <f>IFERROR(VLOOKUP(TRIM(D349), Collection!$B$2:$D$1001, 2, FALSE), "")</f>
        <v>Overseas chronograph</v>
      </c>
      <c r="F349" s="49" t="str">
        <f>IFERROR(VLOOKUP(TRIM(D349), Collection!$B$2:$D$1001, 3, FALSE), "")</f>
        <v>135,000 AED</v>
      </c>
      <c r="G349" s="49">
        <f t="shared" si="10"/>
        <v>135000</v>
      </c>
      <c r="H349" s="46" t="s">
        <v>192</v>
      </c>
      <c r="I349" s="46">
        <v>101293683</v>
      </c>
      <c r="J349" s="46" t="s">
        <v>193</v>
      </c>
      <c r="K349" s="46" t="s">
        <v>204</v>
      </c>
      <c r="L349" s="46" t="s">
        <v>1296</v>
      </c>
      <c r="M349" s="46" t="b">
        <f t="shared" si="11"/>
        <v>0</v>
      </c>
    </row>
    <row r="350" spans="1:13" ht="62.4" x14ac:dyDescent="0.3">
      <c r="A350" s="46" t="s">
        <v>264</v>
      </c>
      <c r="B350" s="46" t="s">
        <v>264</v>
      </c>
      <c r="C350" s="46" t="s">
        <v>836</v>
      </c>
      <c r="D350" s="46" t="s">
        <v>120</v>
      </c>
      <c r="E350" s="46" t="str">
        <f>IFERROR(VLOOKUP(TRIM(D350), Collection!$B$2:$D$1001, 2, FALSE), "")</f>
        <v>Overseas self-winding</v>
      </c>
      <c r="F350" s="49" t="str">
        <f>IFERROR(VLOOKUP(TRIM(D350), Collection!$B$2:$D$1001, 3, FALSE), "")</f>
        <v>94,500 AED</v>
      </c>
      <c r="G350" s="49">
        <f t="shared" si="10"/>
        <v>94500</v>
      </c>
      <c r="H350" s="46" t="s">
        <v>192</v>
      </c>
      <c r="I350" s="46">
        <v>101987055</v>
      </c>
      <c r="J350" s="46" t="s">
        <v>193</v>
      </c>
      <c r="K350" s="46" t="s">
        <v>201</v>
      </c>
      <c r="L350" s="46" t="s">
        <v>1297</v>
      </c>
      <c r="M350" s="46" t="b">
        <f t="shared" si="11"/>
        <v>0</v>
      </c>
    </row>
    <row r="351" spans="1:13" ht="31.2" x14ac:dyDescent="0.3">
      <c r="A351" s="46" t="s">
        <v>264</v>
      </c>
      <c r="B351" s="46" t="s">
        <v>264</v>
      </c>
      <c r="C351" s="47">
        <v>45606</v>
      </c>
      <c r="D351" s="46" t="s">
        <v>120</v>
      </c>
      <c r="E351" s="46" t="str">
        <f>IFERROR(VLOOKUP(TRIM(D351), Collection!$B$2:$D$1001, 2, FALSE), "")</f>
        <v>Overseas self-winding</v>
      </c>
      <c r="F351" s="49" t="str">
        <f>IFERROR(VLOOKUP(TRIM(D351), Collection!$B$2:$D$1001, 3, FALSE), "")</f>
        <v>94,500 AED</v>
      </c>
      <c r="G351" s="49">
        <f t="shared" si="10"/>
        <v>94500</v>
      </c>
      <c r="H351" s="46" t="s">
        <v>192</v>
      </c>
      <c r="I351" s="46">
        <v>101917600</v>
      </c>
      <c r="J351" s="46" t="s">
        <v>193</v>
      </c>
      <c r="K351" s="46" t="s">
        <v>201</v>
      </c>
      <c r="L351" s="46" t="s">
        <v>1128</v>
      </c>
      <c r="M351" s="46" t="b">
        <f t="shared" si="11"/>
        <v>0</v>
      </c>
    </row>
    <row r="352" spans="1:13" ht="31.2" x14ac:dyDescent="0.3">
      <c r="A352" s="46" t="s">
        <v>189</v>
      </c>
      <c r="B352" s="46" t="s">
        <v>1128</v>
      </c>
      <c r="C352" s="47">
        <v>45606</v>
      </c>
      <c r="D352" s="46" t="s">
        <v>56</v>
      </c>
      <c r="E352" s="46" t="str">
        <f>IFERROR(VLOOKUP(TRIM(D352), Collection!$B$2:$D$1001, 2, FALSE), "")</f>
        <v>Overseas dual time Blue</v>
      </c>
      <c r="F352" s="49" t="str">
        <f>IFERROR(VLOOKUP(TRIM(D352), Collection!$B$2:$D$1001, 3, FALSE), "")</f>
        <v>117,000 AED</v>
      </c>
      <c r="G352" s="49">
        <f t="shared" si="10"/>
        <v>117000</v>
      </c>
      <c r="H352" s="46" t="s">
        <v>192</v>
      </c>
      <c r="I352" s="46">
        <v>101917600</v>
      </c>
      <c r="J352" s="46" t="s">
        <v>193</v>
      </c>
      <c r="K352" s="46" t="s">
        <v>201</v>
      </c>
      <c r="L352" s="46" t="s">
        <v>1128</v>
      </c>
      <c r="M352" s="46" t="b">
        <f t="shared" si="11"/>
        <v>0</v>
      </c>
    </row>
    <row r="353" spans="1:13" ht="31.2" x14ac:dyDescent="0.3">
      <c r="A353" s="46" t="s">
        <v>264</v>
      </c>
      <c r="B353" s="46" t="s">
        <v>264</v>
      </c>
      <c r="C353" s="47">
        <v>45575</v>
      </c>
      <c r="D353" s="46" t="s">
        <v>120</v>
      </c>
      <c r="E353" s="46" t="str">
        <f>IFERROR(VLOOKUP(TRIM(D353), Collection!$B$2:$D$1001, 2, FALSE), "")</f>
        <v>Overseas self-winding</v>
      </c>
      <c r="F353" s="49" t="str">
        <f>IFERROR(VLOOKUP(TRIM(D353), Collection!$B$2:$D$1001, 3, FALSE), "")</f>
        <v>94,500 AED</v>
      </c>
      <c r="G353" s="49">
        <f t="shared" si="10"/>
        <v>94500</v>
      </c>
      <c r="H353" s="46" t="s">
        <v>192</v>
      </c>
      <c r="I353" s="46">
        <v>101876625</v>
      </c>
      <c r="J353" s="46" t="s">
        <v>193</v>
      </c>
      <c r="K353" s="46" t="s">
        <v>194</v>
      </c>
      <c r="L353" s="46" t="s">
        <v>1298</v>
      </c>
      <c r="M353" s="46" t="b">
        <f t="shared" si="11"/>
        <v>0</v>
      </c>
    </row>
    <row r="354" spans="1:13" ht="46.8" x14ac:dyDescent="0.3">
      <c r="A354" s="46" t="s">
        <v>189</v>
      </c>
      <c r="B354" s="46" t="s">
        <v>1128</v>
      </c>
      <c r="C354" s="47">
        <v>45575</v>
      </c>
      <c r="D354" s="46" t="s">
        <v>111</v>
      </c>
      <c r="E354" s="46" t="str">
        <f>IFERROR(VLOOKUP(TRIM(D354), Collection!$B$2:$D$1001, 2, FALSE), "")</f>
        <v>Overseas dual time Silver</v>
      </c>
      <c r="F354" s="49" t="str">
        <f>IFERROR(VLOOKUP(TRIM(D354), Collection!$B$2:$D$1001, 3, FALSE), "")</f>
        <v>117,000 AED</v>
      </c>
      <c r="G354" s="49">
        <f t="shared" si="10"/>
        <v>117000</v>
      </c>
      <c r="H354" s="46" t="s">
        <v>192</v>
      </c>
      <c r="I354" s="46">
        <v>92407429</v>
      </c>
      <c r="J354" s="46" t="s">
        <v>248</v>
      </c>
      <c r="K354" s="46" t="s">
        <v>201</v>
      </c>
      <c r="L354" s="46" t="s">
        <v>1299</v>
      </c>
      <c r="M354" s="46" t="b">
        <f t="shared" si="11"/>
        <v>0</v>
      </c>
    </row>
    <row r="355" spans="1:13" ht="46.8" x14ac:dyDescent="0.3">
      <c r="A355" s="46" t="s">
        <v>189</v>
      </c>
      <c r="B355" s="46" t="s">
        <v>698</v>
      </c>
      <c r="C355" s="47">
        <v>45575</v>
      </c>
      <c r="D355" s="46" t="s">
        <v>95</v>
      </c>
      <c r="E355" s="46" t="str">
        <f>IFERROR(VLOOKUP(TRIM(D355), Collection!$B$2:$D$1001, 2, FALSE), "")</f>
        <v>Overseas self-winding</v>
      </c>
      <c r="F355" s="49" t="str">
        <f>IFERROR(VLOOKUP(TRIM(D355), Collection!$B$2:$D$1001, 3, FALSE), "")</f>
        <v>229,000 AED</v>
      </c>
      <c r="G355" s="49">
        <f t="shared" si="10"/>
        <v>229000</v>
      </c>
      <c r="H355" s="46" t="s">
        <v>192</v>
      </c>
      <c r="I355" s="46">
        <v>92404145</v>
      </c>
      <c r="J355" s="46" t="s">
        <v>248</v>
      </c>
      <c r="K355" s="46" t="s">
        <v>201</v>
      </c>
      <c r="L355" s="46" t="s">
        <v>1300</v>
      </c>
      <c r="M355" s="46" t="b">
        <f t="shared" si="11"/>
        <v>0</v>
      </c>
    </row>
    <row r="356" spans="1:13" ht="62.4" x14ac:dyDescent="0.3">
      <c r="A356" s="46" t="s">
        <v>264</v>
      </c>
      <c r="B356" s="46" t="s">
        <v>264</v>
      </c>
      <c r="C356" s="47">
        <v>45545</v>
      </c>
      <c r="D356" s="46" t="s">
        <v>120</v>
      </c>
      <c r="E356" s="46" t="str">
        <f>IFERROR(VLOOKUP(TRIM(D356), Collection!$B$2:$D$1001, 2, FALSE), "")</f>
        <v>Overseas self-winding</v>
      </c>
      <c r="F356" s="49" t="str">
        <f>IFERROR(VLOOKUP(TRIM(D356), Collection!$B$2:$D$1001, 3, FALSE), "")</f>
        <v>94,500 AED</v>
      </c>
      <c r="G356" s="49">
        <f t="shared" si="10"/>
        <v>94500</v>
      </c>
      <c r="H356" s="46" t="s">
        <v>192</v>
      </c>
      <c r="I356" s="46">
        <v>101808480</v>
      </c>
      <c r="J356" s="46" t="s">
        <v>193</v>
      </c>
      <c r="K356" s="46" t="s">
        <v>194</v>
      </c>
      <c r="L356" s="46" t="s">
        <v>1301</v>
      </c>
      <c r="M356" s="46" t="b">
        <f t="shared" si="11"/>
        <v>0</v>
      </c>
    </row>
    <row r="357" spans="1:13" ht="62.4" x14ac:dyDescent="0.3">
      <c r="A357" s="46" t="s">
        <v>69</v>
      </c>
      <c r="B357" s="46" t="s">
        <v>232</v>
      </c>
      <c r="C357" s="47">
        <v>45545</v>
      </c>
      <c r="D357" s="46" t="s">
        <v>501</v>
      </c>
      <c r="E357" s="46" t="str">
        <f>IFERROR(VLOOKUP(TRIM(D357), Collection!$B$2:$D$1001, 2, FALSE), "")</f>
        <v>Overseas perpetual calendar ultra-thin skeleton</v>
      </c>
      <c r="F357" s="49" t="str">
        <f>IFERROR(VLOOKUP(TRIM(D357), Collection!$B$2:$D$1001, 3, FALSE), "")</f>
        <v>605,000 AED</v>
      </c>
      <c r="G357" s="49">
        <f t="shared" si="10"/>
        <v>605000</v>
      </c>
      <c r="H357" s="46" t="s">
        <v>192</v>
      </c>
      <c r="I357" s="46">
        <v>101808480</v>
      </c>
      <c r="J357" s="46" t="s">
        <v>193</v>
      </c>
      <c r="K357" s="46" t="s">
        <v>194</v>
      </c>
      <c r="L357" s="46" t="s">
        <v>1302</v>
      </c>
      <c r="M357" s="46" t="b">
        <f t="shared" si="11"/>
        <v>0</v>
      </c>
    </row>
    <row r="358" spans="1:13" ht="31.2" x14ac:dyDescent="0.3">
      <c r="A358" s="46" t="s">
        <v>264</v>
      </c>
      <c r="B358" s="46" t="s">
        <v>264</v>
      </c>
      <c r="C358" s="47">
        <v>45545</v>
      </c>
      <c r="D358" s="46" t="s">
        <v>633</v>
      </c>
      <c r="E358" s="46" t="str">
        <f>IFERROR(VLOOKUP(TRIM(D358), Collection!$B$2:$D$1001, 2, FALSE), "")</f>
        <v>Overseas self-winding</v>
      </c>
      <c r="F358" s="49" t="str">
        <f>IFERROR(VLOOKUP(TRIM(D358), Collection!$B$2:$D$1001, 3, FALSE), "")</f>
        <v>94,500 AED</v>
      </c>
      <c r="G358" s="49">
        <f t="shared" si="10"/>
        <v>94500</v>
      </c>
      <c r="H358" s="46" t="s">
        <v>192</v>
      </c>
      <c r="I358" s="46">
        <v>101876625</v>
      </c>
      <c r="J358" s="46" t="s">
        <v>193</v>
      </c>
      <c r="K358" s="46" t="s">
        <v>194</v>
      </c>
      <c r="L358" s="46" t="s">
        <v>1128</v>
      </c>
      <c r="M358" s="46" t="b">
        <f t="shared" si="11"/>
        <v>0</v>
      </c>
    </row>
    <row r="359" spans="1:13" ht="31.2" x14ac:dyDescent="0.3">
      <c r="A359" s="46" t="s">
        <v>189</v>
      </c>
      <c r="B359" s="46" t="s">
        <v>698</v>
      </c>
      <c r="C359" s="47">
        <v>45514</v>
      </c>
      <c r="D359" s="46" t="s">
        <v>209</v>
      </c>
      <c r="E359" s="46" t="str">
        <f>IFERROR(VLOOKUP(TRIM(D359), Collection!$B$2:$D$1001, 2, FALSE), "")</f>
        <v>Overseas self-winding</v>
      </c>
      <c r="F359" s="49" t="str">
        <f>IFERROR(VLOOKUP(TRIM(D359), Collection!$B$2:$D$1001, 3, FALSE), "")</f>
        <v>94,500 AED</v>
      </c>
      <c r="G359" s="49">
        <f t="shared" si="10"/>
        <v>94500</v>
      </c>
      <c r="H359" s="46" t="s">
        <v>192</v>
      </c>
      <c r="I359" s="46">
        <v>101823588</v>
      </c>
      <c r="J359" s="46" t="s">
        <v>193</v>
      </c>
      <c r="K359" s="46" t="s">
        <v>201</v>
      </c>
      <c r="L359" s="46" t="s">
        <v>1128</v>
      </c>
      <c r="M359" s="46" t="b">
        <f t="shared" si="11"/>
        <v>0</v>
      </c>
    </row>
    <row r="360" spans="1:13" ht="31.2" x14ac:dyDescent="0.3">
      <c r="A360" s="46" t="s">
        <v>264</v>
      </c>
      <c r="B360" s="46" t="s">
        <v>264</v>
      </c>
      <c r="C360" s="47">
        <v>45514</v>
      </c>
      <c r="D360" s="46" t="s">
        <v>56</v>
      </c>
      <c r="E360" s="46" t="str">
        <f>IFERROR(VLOOKUP(TRIM(D360), Collection!$B$2:$D$1001, 2, FALSE), "")</f>
        <v>Overseas dual time Blue</v>
      </c>
      <c r="F360" s="49" t="str">
        <f>IFERROR(VLOOKUP(TRIM(D360), Collection!$B$2:$D$1001, 3, FALSE), "")</f>
        <v>117,000 AED</v>
      </c>
      <c r="G360" s="49">
        <f t="shared" si="10"/>
        <v>117000</v>
      </c>
      <c r="H360" s="46" t="s">
        <v>192</v>
      </c>
      <c r="I360" s="46">
        <v>101893659</v>
      </c>
      <c r="J360" s="46" t="s">
        <v>193</v>
      </c>
      <c r="K360" s="46" t="s">
        <v>201</v>
      </c>
      <c r="L360" s="46" t="s">
        <v>1128</v>
      </c>
      <c r="M360" s="46" t="b">
        <f t="shared" si="11"/>
        <v>0</v>
      </c>
    </row>
    <row r="361" spans="1:13" ht="31.2" x14ac:dyDescent="0.3">
      <c r="A361" s="46" t="s">
        <v>264</v>
      </c>
      <c r="B361" s="46" t="s">
        <v>264</v>
      </c>
      <c r="C361" s="47">
        <v>45514</v>
      </c>
      <c r="D361" s="46" t="s">
        <v>241</v>
      </c>
      <c r="E361" s="46" t="str">
        <f>IFERROR(VLOOKUP(TRIM(D361), Collection!$B$2:$D$1001, 2, FALSE), "")</f>
        <v>Overseas chronograph</v>
      </c>
      <c r="F361" s="49" t="str">
        <f>IFERROR(VLOOKUP(TRIM(D361), Collection!$B$2:$D$1001, 3, FALSE), "")</f>
        <v>135,000 AED</v>
      </c>
      <c r="G361" s="49">
        <f t="shared" si="10"/>
        <v>135000</v>
      </c>
      <c r="H361" s="46" t="s">
        <v>192</v>
      </c>
      <c r="I361" s="46">
        <v>101893659</v>
      </c>
      <c r="J361" s="46" t="s">
        <v>193</v>
      </c>
      <c r="K361" s="46" t="s">
        <v>201</v>
      </c>
      <c r="L361" s="46" t="s">
        <v>1128</v>
      </c>
      <c r="M361" s="46" t="b">
        <f t="shared" si="11"/>
        <v>0</v>
      </c>
    </row>
    <row r="362" spans="1:13" ht="78" x14ac:dyDescent="0.3">
      <c r="A362" s="46" t="s">
        <v>69</v>
      </c>
      <c r="B362" s="46" t="s">
        <v>232</v>
      </c>
      <c r="C362" s="47">
        <v>45422</v>
      </c>
      <c r="D362" s="46" t="s">
        <v>56</v>
      </c>
      <c r="E362" s="46" t="str">
        <f>IFERROR(VLOOKUP(TRIM(D362), Collection!$B$2:$D$1001, 2, FALSE), "")</f>
        <v>Overseas dual time Blue</v>
      </c>
      <c r="F362" s="49" t="str">
        <f>IFERROR(VLOOKUP(TRIM(D362), Collection!$B$2:$D$1001, 3, FALSE), "")</f>
        <v>117,000 AED</v>
      </c>
      <c r="G362" s="49">
        <f t="shared" si="10"/>
        <v>117000</v>
      </c>
      <c r="H362" s="46" t="s">
        <v>192</v>
      </c>
      <c r="I362" s="46">
        <v>101808480</v>
      </c>
      <c r="J362" s="46" t="s">
        <v>193</v>
      </c>
      <c r="K362" s="46" t="s">
        <v>194</v>
      </c>
      <c r="L362" s="46" t="s">
        <v>1303</v>
      </c>
      <c r="M362" s="46" t="b">
        <f t="shared" si="11"/>
        <v>0</v>
      </c>
    </row>
    <row r="363" spans="1:13" ht="218.4" x14ac:dyDescent="0.3">
      <c r="A363" s="46" t="s">
        <v>189</v>
      </c>
      <c r="B363" s="46" t="s">
        <v>229</v>
      </c>
      <c r="C363" s="47">
        <v>45332</v>
      </c>
      <c r="D363" s="46" t="s">
        <v>132</v>
      </c>
      <c r="E363" s="46" t="str">
        <f>IFERROR(VLOOKUP(TRIM(D363), Collection!$B$2:$D$1001, 2, FALSE), "")</f>
        <v>Overseas moon phase retrograde date</v>
      </c>
      <c r="F363" s="49" t="str">
        <f>IFERROR(VLOOKUP(TRIM(D363), Collection!$B$2:$D$1001, 3, FALSE), "")</f>
        <v>166,000 AED</v>
      </c>
      <c r="G363" s="49">
        <f t="shared" si="10"/>
        <v>166000</v>
      </c>
      <c r="H363" s="46" t="s">
        <v>192</v>
      </c>
      <c r="I363" s="46">
        <v>101770162</v>
      </c>
      <c r="J363" s="46" t="s">
        <v>193</v>
      </c>
      <c r="K363" s="46" t="s">
        <v>194</v>
      </c>
      <c r="L363" s="48" t="s">
        <v>1304</v>
      </c>
      <c r="M363" s="46" t="b">
        <f t="shared" si="11"/>
        <v>0</v>
      </c>
    </row>
    <row r="364" spans="1:13" ht="46.8" x14ac:dyDescent="0.3">
      <c r="A364" s="46" t="s">
        <v>189</v>
      </c>
      <c r="B364" s="46" t="s">
        <v>1128</v>
      </c>
      <c r="C364" s="46" t="s">
        <v>859</v>
      </c>
      <c r="D364" s="46" t="s">
        <v>56</v>
      </c>
      <c r="E364" s="46" t="str">
        <f>IFERROR(VLOOKUP(TRIM(D364), Collection!$B$2:$D$1001, 2, FALSE), "")</f>
        <v>Overseas dual time Blue</v>
      </c>
      <c r="F364" s="49" t="str">
        <f>IFERROR(VLOOKUP(TRIM(D364), Collection!$B$2:$D$1001, 3, FALSE), "")</f>
        <v>117,000 AED</v>
      </c>
      <c r="G364" s="49">
        <f t="shared" si="10"/>
        <v>117000</v>
      </c>
      <c r="H364" s="46" t="s">
        <v>192</v>
      </c>
      <c r="I364" s="46">
        <v>101624260</v>
      </c>
      <c r="J364" s="46" t="s">
        <v>193</v>
      </c>
      <c r="K364" s="46" t="s">
        <v>204</v>
      </c>
      <c r="L364" s="46" t="s">
        <v>1305</v>
      </c>
      <c r="M364" s="46" t="b">
        <f t="shared" si="11"/>
        <v>0</v>
      </c>
    </row>
    <row r="365" spans="1:13" ht="31.2" x14ac:dyDescent="0.3">
      <c r="A365" s="46" t="s">
        <v>264</v>
      </c>
      <c r="B365" s="46" t="s">
        <v>264</v>
      </c>
      <c r="C365" s="46" t="s">
        <v>862</v>
      </c>
      <c r="D365" s="46" t="s">
        <v>306</v>
      </c>
      <c r="E365" s="46" t="str">
        <f>IFERROR(VLOOKUP(TRIM(D365), Collection!$B$2:$D$1001, 2, FALSE), "")</f>
        <v>Fiftysix self-winding</v>
      </c>
      <c r="F365" s="49" t="str">
        <f>IFERROR(VLOOKUP(TRIM(D365), Collection!$B$2:$D$1001, 3, FALSE), "")</f>
        <v>48,000 AED</v>
      </c>
      <c r="G365" s="49">
        <f t="shared" si="10"/>
        <v>48000</v>
      </c>
      <c r="H365" s="46" t="s">
        <v>192</v>
      </c>
      <c r="I365" s="46">
        <v>101705220</v>
      </c>
      <c r="J365" s="46" t="s">
        <v>193</v>
      </c>
      <c r="K365" s="46" t="s">
        <v>201</v>
      </c>
      <c r="L365" s="46" t="s">
        <v>1128</v>
      </c>
      <c r="M365" s="46" t="b">
        <f t="shared" si="11"/>
        <v>0</v>
      </c>
    </row>
    <row r="366" spans="1:13" ht="31.2" x14ac:dyDescent="0.3">
      <c r="A366" s="46" t="s">
        <v>189</v>
      </c>
      <c r="B366" s="46" t="s">
        <v>1128</v>
      </c>
      <c r="C366" s="46" t="s">
        <v>862</v>
      </c>
      <c r="D366" s="46" t="s">
        <v>80</v>
      </c>
      <c r="E366" s="46" t="str">
        <f>IFERROR(VLOOKUP(TRIM(D366), Collection!$B$2:$D$1001, 2, FALSE), "")</f>
        <v>Historiques 222</v>
      </c>
      <c r="F366" s="49" t="str">
        <f>IFERROR(VLOOKUP(TRIM(D366), Collection!$B$2:$D$1001, 3, FALSE), "")</f>
        <v>279,000 AED</v>
      </c>
      <c r="G366" s="49">
        <f t="shared" si="10"/>
        <v>279000</v>
      </c>
      <c r="H366" s="46" t="s">
        <v>192</v>
      </c>
      <c r="I366" s="46">
        <v>101705253</v>
      </c>
      <c r="J366" s="46" t="s">
        <v>193</v>
      </c>
      <c r="K366" s="46" t="s">
        <v>201</v>
      </c>
      <c r="L366" s="46" t="s">
        <v>1128</v>
      </c>
      <c r="M366" s="46" t="b">
        <f t="shared" si="11"/>
        <v>1</v>
      </c>
    </row>
    <row r="367" spans="1:13" ht="171.6" x14ac:dyDescent="0.3">
      <c r="A367" s="46" t="s">
        <v>189</v>
      </c>
      <c r="B367" s="46" t="s">
        <v>1128</v>
      </c>
      <c r="C367" s="46" t="s">
        <v>865</v>
      </c>
      <c r="D367" s="46" t="s">
        <v>14</v>
      </c>
      <c r="E367" s="46" t="str">
        <f>IFERROR(VLOOKUP(TRIM(D367), Collection!$B$2:$D$1001, 2, FALSE), "")</f>
        <v>Overseas quartz</v>
      </c>
      <c r="F367" s="49" t="str">
        <f>IFERROR(VLOOKUP(TRIM(D367), Collection!$B$2:$D$1001, 3, FALSE), "")</f>
        <v>62,500 AED</v>
      </c>
      <c r="G367" s="49">
        <f t="shared" si="10"/>
        <v>62500</v>
      </c>
      <c r="H367" s="46" t="s">
        <v>192</v>
      </c>
      <c r="I367" s="46">
        <v>101680942</v>
      </c>
      <c r="J367" s="46" t="s">
        <v>193</v>
      </c>
      <c r="K367" s="46" t="s">
        <v>194</v>
      </c>
      <c r="L367" s="46" t="s">
        <v>1306</v>
      </c>
      <c r="M367" s="46" t="b">
        <f t="shared" si="11"/>
        <v>0</v>
      </c>
    </row>
    <row r="368" spans="1:13" ht="140.4" x14ac:dyDescent="0.3">
      <c r="A368" s="46" t="s">
        <v>189</v>
      </c>
      <c r="B368" s="46" t="s">
        <v>1128</v>
      </c>
      <c r="C368" s="46" t="s">
        <v>865</v>
      </c>
      <c r="D368" s="46" t="s">
        <v>56</v>
      </c>
      <c r="E368" s="46" t="str">
        <f>IFERROR(VLOOKUP(TRIM(D368), Collection!$B$2:$D$1001, 2, FALSE), "")</f>
        <v>Overseas dual time Blue</v>
      </c>
      <c r="F368" s="49" t="str">
        <f>IFERROR(VLOOKUP(TRIM(D368), Collection!$B$2:$D$1001, 3, FALSE), "")</f>
        <v>117,000 AED</v>
      </c>
      <c r="G368" s="49">
        <f t="shared" si="10"/>
        <v>117000</v>
      </c>
      <c r="H368" s="46" t="s">
        <v>192</v>
      </c>
      <c r="I368" s="46">
        <v>101467478</v>
      </c>
      <c r="J368" s="46" t="s">
        <v>193</v>
      </c>
      <c r="K368" s="46" t="s">
        <v>194</v>
      </c>
      <c r="L368" s="46" t="s">
        <v>1307</v>
      </c>
      <c r="M368" s="46" t="b">
        <f t="shared" si="11"/>
        <v>0</v>
      </c>
    </row>
    <row r="369" spans="1:13" ht="62.4" x14ac:dyDescent="0.3">
      <c r="A369" s="46" t="s">
        <v>264</v>
      </c>
      <c r="B369" s="46" t="s">
        <v>264</v>
      </c>
      <c r="C369" s="46" t="s">
        <v>870</v>
      </c>
      <c r="D369" s="46" t="s">
        <v>209</v>
      </c>
      <c r="E369" s="46" t="str">
        <f>IFERROR(VLOOKUP(TRIM(D369), Collection!$B$2:$D$1001, 2, FALSE), "")</f>
        <v>Overseas self-winding</v>
      </c>
      <c r="F369" s="49" t="str">
        <f>IFERROR(VLOOKUP(TRIM(D369), Collection!$B$2:$D$1001, 3, FALSE), "")</f>
        <v>94,500 AED</v>
      </c>
      <c r="G369" s="49">
        <f t="shared" si="10"/>
        <v>94500</v>
      </c>
      <c r="H369" s="46" t="s">
        <v>192</v>
      </c>
      <c r="I369" s="46">
        <v>101641502</v>
      </c>
      <c r="J369" s="46" t="s">
        <v>193</v>
      </c>
      <c r="K369" s="46" t="s">
        <v>201</v>
      </c>
      <c r="L369" s="46" t="s">
        <v>1308</v>
      </c>
      <c r="M369" s="46" t="b">
        <f t="shared" si="11"/>
        <v>0</v>
      </c>
    </row>
    <row r="370" spans="1:13" ht="46.8" x14ac:dyDescent="0.3">
      <c r="A370" s="46" t="s">
        <v>264</v>
      </c>
      <c r="B370" s="46" t="s">
        <v>264</v>
      </c>
      <c r="C370" s="46" t="s">
        <v>872</v>
      </c>
      <c r="D370" s="46" t="s">
        <v>132</v>
      </c>
      <c r="E370" s="46" t="str">
        <f>IFERROR(VLOOKUP(TRIM(D370), Collection!$B$2:$D$1001, 2, FALSE), "")</f>
        <v>Overseas moon phase retrograde date</v>
      </c>
      <c r="F370" s="49" t="str">
        <f>IFERROR(VLOOKUP(TRIM(D370), Collection!$B$2:$D$1001, 3, FALSE), "")</f>
        <v>166,000 AED</v>
      </c>
      <c r="G370" s="49">
        <f t="shared" si="10"/>
        <v>166000</v>
      </c>
      <c r="H370" s="46" t="s">
        <v>192</v>
      </c>
      <c r="I370" s="46">
        <v>101623615</v>
      </c>
      <c r="J370" s="46" t="s">
        <v>193</v>
      </c>
      <c r="K370" s="46" t="s">
        <v>201</v>
      </c>
      <c r="L370" s="46" t="s">
        <v>1128</v>
      </c>
      <c r="M370" s="46" t="b">
        <f t="shared" si="11"/>
        <v>0</v>
      </c>
    </row>
    <row r="371" spans="1:13" ht="62.4" x14ac:dyDescent="0.3">
      <c r="A371" s="46" t="s">
        <v>189</v>
      </c>
      <c r="B371" s="46" t="s">
        <v>1128</v>
      </c>
      <c r="C371" s="46" t="s">
        <v>873</v>
      </c>
      <c r="D371" s="46" t="s">
        <v>120</v>
      </c>
      <c r="E371" s="46" t="str">
        <f>IFERROR(VLOOKUP(TRIM(D371), Collection!$B$2:$D$1001, 2, FALSE), "")</f>
        <v>Overseas self-winding</v>
      </c>
      <c r="F371" s="49" t="str">
        <f>IFERROR(VLOOKUP(TRIM(D371), Collection!$B$2:$D$1001, 3, FALSE), "")</f>
        <v>94,500 AED</v>
      </c>
      <c r="G371" s="49">
        <f t="shared" si="10"/>
        <v>94500</v>
      </c>
      <c r="H371" s="46" t="s">
        <v>192</v>
      </c>
      <c r="I371" s="46">
        <v>101584188</v>
      </c>
      <c r="J371" s="46" t="s">
        <v>193</v>
      </c>
      <c r="K371" s="46" t="s">
        <v>201</v>
      </c>
      <c r="L371" s="46" t="s">
        <v>1309</v>
      </c>
      <c r="M371" s="46" t="b">
        <f t="shared" si="11"/>
        <v>0</v>
      </c>
    </row>
    <row r="372" spans="1:13" ht="46.8" x14ac:dyDescent="0.3">
      <c r="A372" s="46" t="s">
        <v>189</v>
      </c>
      <c r="B372" s="46" t="s">
        <v>698</v>
      </c>
      <c r="C372" s="46" t="s">
        <v>873</v>
      </c>
      <c r="D372" s="46" t="s">
        <v>128</v>
      </c>
      <c r="E372" s="46" t="str">
        <f>IFERROR(VLOOKUP(TRIM(D372), Collection!$B$2:$D$1001, 2, FALSE), "")</f>
        <v>Overseas chronograph Pink Gold</v>
      </c>
      <c r="F372" s="49" t="str">
        <f>IFERROR(VLOOKUP(TRIM(D372), Collection!$B$2:$D$1001, 3, FALSE), "")</f>
        <v>299,000 AED</v>
      </c>
      <c r="G372" s="49">
        <f t="shared" si="10"/>
        <v>299000</v>
      </c>
      <c r="H372" s="46" t="s">
        <v>192</v>
      </c>
      <c r="I372" s="46">
        <v>101615228</v>
      </c>
      <c r="J372" s="46" t="s">
        <v>193</v>
      </c>
      <c r="K372" s="46" t="s">
        <v>201</v>
      </c>
      <c r="L372" s="46" t="s">
        <v>1128</v>
      </c>
      <c r="M372" s="46" t="b">
        <f t="shared" si="11"/>
        <v>1</v>
      </c>
    </row>
    <row r="373" spans="1:13" ht="31.2" x14ac:dyDescent="0.3">
      <c r="A373" s="46" t="s">
        <v>189</v>
      </c>
      <c r="B373" s="46" t="s">
        <v>1128</v>
      </c>
      <c r="C373" s="46" t="s">
        <v>877</v>
      </c>
      <c r="D373" s="46" t="s">
        <v>120</v>
      </c>
      <c r="E373" s="46" t="str">
        <f>IFERROR(VLOOKUP(TRIM(D373), Collection!$B$2:$D$1001, 2, FALSE), "")</f>
        <v>Overseas self-winding</v>
      </c>
      <c r="F373" s="49" t="str">
        <f>IFERROR(VLOOKUP(TRIM(D373), Collection!$B$2:$D$1001, 3, FALSE), "")</f>
        <v>94,500 AED</v>
      </c>
      <c r="G373" s="49">
        <f t="shared" si="10"/>
        <v>94500</v>
      </c>
      <c r="H373" s="46" t="s">
        <v>192</v>
      </c>
      <c r="I373" s="46">
        <v>101498463</v>
      </c>
      <c r="J373" s="46" t="s">
        <v>193</v>
      </c>
      <c r="K373" s="46" t="s">
        <v>204</v>
      </c>
      <c r="L373" s="46" t="s">
        <v>1128</v>
      </c>
      <c r="M373" s="46" t="b">
        <f t="shared" si="11"/>
        <v>0</v>
      </c>
    </row>
    <row r="374" spans="1:13" ht="46.8" x14ac:dyDescent="0.3">
      <c r="A374" s="46" t="s">
        <v>189</v>
      </c>
      <c r="B374" s="46" t="s">
        <v>1128</v>
      </c>
      <c r="C374" s="46" t="s">
        <v>879</v>
      </c>
      <c r="D374" s="46" t="s">
        <v>120</v>
      </c>
      <c r="E374" s="46" t="str">
        <f>IFERROR(VLOOKUP(TRIM(D374), Collection!$B$2:$D$1001, 2, FALSE), "")</f>
        <v>Overseas self-winding</v>
      </c>
      <c r="F374" s="49" t="str">
        <f>IFERROR(VLOOKUP(TRIM(D374), Collection!$B$2:$D$1001, 3, FALSE), "")</f>
        <v>94,500 AED</v>
      </c>
      <c r="G374" s="49">
        <f t="shared" si="10"/>
        <v>94500</v>
      </c>
      <c r="H374" s="46" t="s">
        <v>192</v>
      </c>
      <c r="I374" s="46">
        <v>101522662</v>
      </c>
      <c r="J374" s="46" t="s">
        <v>193</v>
      </c>
      <c r="K374" s="46" t="s">
        <v>194</v>
      </c>
      <c r="L374" s="46" t="s">
        <v>1310</v>
      </c>
      <c r="M374" s="46" t="b">
        <f t="shared" si="11"/>
        <v>0</v>
      </c>
    </row>
    <row r="375" spans="1:13" ht="171.6" x14ac:dyDescent="0.3">
      <c r="A375" s="46" t="s">
        <v>264</v>
      </c>
      <c r="B375" s="46" t="s">
        <v>264</v>
      </c>
      <c r="C375" s="46" t="s">
        <v>882</v>
      </c>
      <c r="D375" s="46" t="s">
        <v>16</v>
      </c>
      <c r="E375" s="46" t="str">
        <f>IFERROR(VLOOKUP(TRIM(D375), Collection!$B$2:$D$1001, 2, FALSE), "")</f>
        <v>Overseas chronograph</v>
      </c>
      <c r="F375" s="49" t="str">
        <f>IFERROR(VLOOKUP(TRIM(D375), Collection!$B$2:$D$1001, 3, FALSE), "")</f>
        <v>135,000 AED</v>
      </c>
      <c r="G375" s="49">
        <f t="shared" si="10"/>
        <v>135000</v>
      </c>
      <c r="H375" s="46" t="s">
        <v>192</v>
      </c>
      <c r="I375" s="46">
        <v>101467474</v>
      </c>
      <c r="J375" s="46" t="s">
        <v>193</v>
      </c>
      <c r="K375" s="46" t="s">
        <v>201</v>
      </c>
      <c r="L375" s="46" t="s">
        <v>1311</v>
      </c>
      <c r="M375" s="46" t="b">
        <f t="shared" si="11"/>
        <v>0</v>
      </c>
    </row>
    <row r="376" spans="1:13" ht="31.2" x14ac:dyDescent="0.3">
      <c r="A376" s="46" t="s">
        <v>189</v>
      </c>
      <c r="B376" s="46" t="s">
        <v>1128</v>
      </c>
      <c r="C376" s="47">
        <v>45635</v>
      </c>
      <c r="D376" s="46" t="s">
        <v>56</v>
      </c>
      <c r="E376" s="46" t="str">
        <f>IFERROR(VLOOKUP(TRIM(D376), Collection!$B$2:$D$1001, 2, FALSE), "")</f>
        <v>Overseas dual time Blue</v>
      </c>
      <c r="F376" s="49" t="str">
        <f>IFERROR(VLOOKUP(TRIM(D376), Collection!$B$2:$D$1001, 3, FALSE), "")</f>
        <v>117,000 AED</v>
      </c>
      <c r="G376" s="49">
        <f t="shared" si="10"/>
        <v>117000</v>
      </c>
      <c r="H376" s="46" t="s">
        <v>192</v>
      </c>
      <c r="I376" s="46">
        <v>92400340</v>
      </c>
      <c r="J376" s="46" t="s">
        <v>248</v>
      </c>
      <c r="K376" s="46" t="s">
        <v>201</v>
      </c>
      <c r="L376" s="46" t="s">
        <v>1128</v>
      </c>
      <c r="M376" s="46" t="b">
        <f t="shared" si="11"/>
        <v>0</v>
      </c>
    </row>
    <row r="377" spans="1:13" ht="78" x14ac:dyDescent="0.3">
      <c r="A377" s="46" t="s">
        <v>189</v>
      </c>
      <c r="B377" s="46" t="s">
        <v>698</v>
      </c>
      <c r="C377" s="47">
        <v>45574</v>
      </c>
      <c r="D377" s="46" t="s">
        <v>56</v>
      </c>
      <c r="E377" s="46" t="str">
        <f>IFERROR(VLOOKUP(TRIM(D377), Collection!$B$2:$D$1001, 2, FALSE), "")</f>
        <v>Overseas dual time Blue</v>
      </c>
      <c r="F377" s="49" t="str">
        <f>IFERROR(VLOOKUP(TRIM(D377), Collection!$B$2:$D$1001, 3, FALSE), "")</f>
        <v>117,000 AED</v>
      </c>
      <c r="G377" s="49">
        <f t="shared" si="10"/>
        <v>117000</v>
      </c>
      <c r="H377" s="46" t="s">
        <v>192</v>
      </c>
      <c r="I377" s="46">
        <v>101319151</v>
      </c>
      <c r="J377" s="46" t="s">
        <v>193</v>
      </c>
      <c r="K377" s="46" t="s">
        <v>201</v>
      </c>
      <c r="L377" s="46" t="s">
        <v>1312</v>
      </c>
      <c r="M377" s="46" t="b">
        <f t="shared" si="11"/>
        <v>0</v>
      </c>
    </row>
    <row r="378" spans="1:13" ht="78" x14ac:dyDescent="0.3">
      <c r="A378" s="46" t="s">
        <v>189</v>
      </c>
      <c r="B378" s="46" t="s">
        <v>1128</v>
      </c>
      <c r="C378" s="47">
        <v>45574</v>
      </c>
      <c r="D378" s="46" t="s">
        <v>95</v>
      </c>
      <c r="E378" s="46" t="str">
        <f>IFERROR(VLOOKUP(TRIM(D378), Collection!$B$2:$D$1001, 2, FALSE), "")</f>
        <v>Overseas self-winding</v>
      </c>
      <c r="F378" s="49" t="str">
        <f>IFERROR(VLOOKUP(TRIM(D378), Collection!$B$2:$D$1001, 3, FALSE), "")</f>
        <v>229,000 AED</v>
      </c>
      <c r="G378" s="49">
        <f t="shared" si="10"/>
        <v>229000</v>
      </c>
      <c r="H378" s="46" t="s">
        <v>192</v>
      </c>
      <c r="I378" s="46">
        <v>100995935</v>
      </c>
      <c r="J378" s="46" t="s">
        <v>193</v>
      </c>
      <c r="K378" s="46" t="s">
        <v>194</v>
      </c>
      <c r="L378" s="46" t="s">
        <v>1313</v>
      </c>
      <c r="M378" s="46" t="b">
        <f t="shared" si="11"/>
        <v>0</v>
      </c>
    </row>
    <row r="379" spans="1:13" ht="62.4" x14ac:dyDescent="0.3">
      <c r="A379" s="46" t="s">
        <v>189</v>
      </c>
      <c r="B379" s="46" t="s">
        <v>1128</v>
      </c>
      <c r="C379" s="47">
        <v>45574</v>
      </c>
      <c r="D379" s="46" t="s">
        <v>120</v>
      </c>
      <c r="E379" s="46" t="str">
        <f>IFERROR(VLOOKUP(TRIM(D379), Collection!$B$2:$D$1001, 2, FALSE), "")</f>
        <v>Overseas self-winding</v>
      </c>
      <c r="F379" s="49" t="str">
        <f>IFERROR(VLOOKUP(TRIM(D379), Collection!$B$2:$D$1001, 3, FALSE), "")</f>
        <v>94,500 AED</v>
      </c>
      <c r="G379" s="49">
        <f t="shared" si="10"/>
        <v>94500</v>
      </c>
      <c r="H379" s="46" t="s">
        <v>192</v>
      </c>
      <c r="I379" s="46">
        <v>100995935</v>
      </c>
      <c r="J379" s="46" t="s">
        <v>193</v>
      </c>
      <c r="K379" s="46" t="s">
        <v>194</v>
      </c>
      <c r="L379" s="46" t="s">
        <v>1314</v>
      </c>
      <c r="M379" s="46" t="b">
        <f t="shared" si="11"/>
        <v>0</v>
      </c>
    </row>
    <row r="380" spans="1:13" ht="31.2" x14ac:dyDescent="0.3">
      <c r="A380" s="46" t="s">
        <v>189</v>
      </c>
      <c r="B380" s="46" t="s">
        <v>1128</v>
      </c>
      <c r="C380" s="47">
        <v>45574</v>
      </c>
      <c r="D380" s="46" t="s">
        <v>56</v>
      </c>
      <c r="E380" s="46" t="str">
        <f>IFERROR(VLOOKUP(TRIM(D380), Collection!$B$2:$D$1001, 2, FALSE), "")</f>
        <v>Overseas dual time Blue</v>
      </c>
      <c r="F380" s="49" t="str">
        <f>IFERROR(VLOOKUP(TRIM(D380), Collection!$B$2:$D$1001, 3, FALSE), "")</f>
        <v>117,000 AED</v>
      </c>
      <c r="G380" s="49">
        <f t="shared" si="10"/>
        <v>117000</v>
      </c>
      <c r="H380" s="46" t="s">
        <v>192</v>
      </c>
      <c r="I380" s="46">
        <v>101424152</v>
      </c>
      <c r="J380" s="46" t="s">
        <v>193</v>
      </c>
      <c r="K380" s="46" t="s">
        <v>204</v>
      </c>
      <c r="L380" s="46" t="s">
        <v>1128</v>
      </c>
      <c r="M380" s="46" t="b">
        <f t="shared" si="11"/>
        <v>0</v>
      </c>
    </row>
    <row r="381" spans="1:13" ht="31.2" x14ac:dyDescent="0.3">
      <c r="A381" s="46" t="s">
        <v>189</v>
      </c>
      <c r="B381" s="46" t="s">
        <v>1128</v>
      </c>
      <c r="C381" s="47">
        <v>45574</v>
      </c>
      <c r="D381" s="46" t="s">
        <v>120</v>
      </c>
      <c r="E381" s="46" t="str">
        <f>IFERROR(VLOOKUP(TRIM(D381), Collection!$B$2:$D$1001, 2, FALSE), "")</f>
        <v>Overseas self-winding</v>
      </c>
      <c r="F381" s="49" t="str">
        <f>IFERROR(VLOOKUP(TRIM(D381), Collection!$B$2:$D$1001, 3, FALSE), "")</f>
        <v>94,500 AED</v>
      </c>
      <c r="G381" s="49">
        <f t="shared" si="10"/>
        <v>94500</v>
      </c>
      <c r="H381" s="46" t="s">
        <v>192</v>
      </c>
      <c r="I381" s="46">
        <v>101413931</v>
      </c>
      <c r="J381" s="46" t="s">
        <v>193</v>
      </c>
      <c r="K381" s="46" t="s">
        <v>194</v>
      </c>
      <c r="L381" s="46" t="s">
        <v>1315</v>
      </c>
      <c r="M381" s="46" t="b">
        <f t="shared" si="11"/>
        <v>0</v>
      </c>
    </row>
    <row r="382" spans="1:13" ht="46.8" x14ac:dyDescent="0.3">
      <c r="A382" s="46" t="s">
        <v>189</v>
      </c>
      <c r="B382" s="46" t="s">
        <v>1128</v>
      </c>
      <c r="C382" s="47">
        <v>45574</v>
      </c>
      <c r="D382" s="46" t="s">
        <v>895</v>
      </c>
      <c r="E382" s="46" t="str">
        <f>IFERROR(VLOOKUP(TRIM(D382), Collection!$B$2:$D$1001, 2, FALSE), "")</f>
        <v>Fiftysix self-winding</v>
      </c>
      <c r="F382" s="49" t="str">
        <f>IFERROR(VLOOKUP(TRIM(D382), Collection!$B$2:$D$1001, 3, FALSE), "")</f>
        <v>58,500 AED</v>
      </c>
      <c r="G382" s="49">
        <f t="shared" si="10"/>
        <v>58500</v>
      </c>
      <c r="H382" s="46" t="s">
        <v>192</v>
      </c>
      <c r="I382" s="46">
        <v>101413931</v>
      </c>
      <c r="J382" s="46" t="s">
        <v>193</v>
      </c>
      <c r="K382" s="46" t="s">
        <v>194</v>
      </c>
      <c r="L382" s="46" t="s">
        <v>1316</v>
      </c>
      <c r="M382" s="46" t="b">
        <f t="shared" si="11"/>
        <v>0</v>
      </c>
    </row>
    <row r="383" spans="1:13" ht="62.4" x14ac:dyDescent="0.3">
      <c r="A383" s="46" t="s">
        <v>189</v>
      </c>
      <c r="B383" s="46" t="s">
        <v>1128</v>
      </c>
      <c r="C383" s="47">
        <v>45574</v>
      </c>
      <c r="D383" s="46" t="s">
        <v>209</v>
      </c>
      <c r="E383" s="46" t="str">
        <f>IFERROR(VLOOKUP(TRIM(D383), Collection!$B$2:$D$1001, 2, FALSE), "")</f>
        <v>Overseas self-winding</v>
      </c>
      <c r="F383" s="49" t="str">
        <f>IFERROR(VLOOKUP(TRIM(D383), Collection!$B$2:$D$1001, 3, FALSE), "")</f>
        <v>94,500 AED</v>
      </c>
      <c r="G383" s="49">
        <f t="shared" si="10"/>
        <v>94500</v>
      </c>
      <c r="H383" s="46" t="s">
        <v>192</v>
      </c>
      <c r="I383" s="46">
        <v>101413931</v>
      </c>
      <c r="J383" s="46" t="s">
        <v>193</v>
      </c>
      <c r="K383" s="46" t="s">
        <v>194</v>
      </c>
      <c r="L383" s="46" t="s">
        <v>1317</v>
      </c>
      <c r="M383" s="46" t="b">
        <f t="shared" si="11"/>
        <v>0</v>
      </c>
    </row>
    <row r="384" spans="1:13" ht="46.8" x14ac:dyDescent="0.3">
      <c r="A384" s="46" t="s">
        <v>189</v>
      </c>
      <c r="B384" s="46" t="s">
        <v>1128</v>
      </c>
      <c r="C384" s="47">
        <v>45574</v>
      </c>
      <c r="D384" s="46" t="s">
        <v>209</v>
      </c>
      <c r="E384" s="46" t="str">
        <f>IFERROR(VLOOKUP(TRIM(D384), Collection!$B$2:$D$1001, 2, FALSE), "")</f>
        <v>Overseas self-winding</v>
      </c>
      <c r="F384" s="49" t="str">
        <f>IFERROR(VLOOKUP(TRIM(D384), Collection!$B$2:$D$1001, 3, FALSE), "")</f>
        <v>94,500 AED</v>
      </c>
      <c r="G384" s="49">
        <f t="shared" si="10"/>
        <v>94500</v>
      </c>
      <c r="H384" s="46" t="s">
        <v>192</v>
      </c>
      <c r="I384" s="46">
        <v>101413931</v>
      </c>
      <c r="J384" s="46" t="s">
        <v>193</v>
      </c>
      <c r="K384" s="46" t="s">
        <v>194</v>
      </c>
      <c r="L384" s="46" t="s">
        <v>1318</v>
      </c>
      <c r="M384" s="46" t="b">
        <f t="shared" si="11"/>
        <v>0</v>
      </c>
    </row>
    <row r="385" spans="1:13" ht="62.4" x14ac:dyDescent="0.3">
      <c r="A385" s="46" t="s">
        <v>189</v>
      </c>
      <c r="B385" s="46" t="s">
        <v>1128</v>
      </c>
      <c r="C385" s="47">
        <v>45574</v>
      </c>
      <c r="D385" s="46" t="s">
        <v>120</v>
      </c>
      <c r="E385" s="46" t="str">
        <f>IFERROR(VLOOKUP(TRIM(D385), Collection!$B$2:$D$1001, 2, FALSE), "")</f>
        <v>Overseas self-winding</v>
      </c>
      <c r="F385" s="49" t="str">
        <f>IFERROR(VLOOKUP(TRIM(D385), Collection!$B$2:$D$1001, 3, FALSE), "")</f>
        <v>94,500 AED</v>
      </c>
      <c r="G385" s="49">
        <f t="shared" si="10"/>
        <v>94500</v>
      </c>
      <c r="H385" s="46" t="s">
        <v>192</v>
      </c>
      <c r="I385" s="46">
        <v>101467308</v>
      </c>
      <c r="J385" s="46" t="s">
        <v>193</v>
      </c>
      <c r="K385" s="46" t="s">
        <v>194</v>
      </c>
      <c r="L385" s="46" t="s">
        <v>1319</v>
      </c>
      <c r="M385" s="46" t="b">
        <f t="shared" si="11"/>
        <v>0</v>
      </c>
    </row>
    <row r="386" spans="1:13" ht="46.8" x14ac:dyDescent="0.3">
      <c r="A386" s="46" t="s">
        <v>189</v>
      </c>
      <c r="B386" s="46" t="s">
        <v>229</v>
      </c>
      <c r="C386" s="47">
        <v>45574</v>
      </c>
      <c r="D386" s="46" t="s">
        <v>296</v>
      </c>
      <c r="E386" s="46" t="str">
        <f>IFERROR(VLOOKUP(TRIM(D386), Collection!$B$2:$D$1001, 2, FALSE), "")</f>
        <v>Fiftysix self-winding</v>
      </c>
      <c r="F386" s="49" t="str">
        <f>IFERROR(VLOOKUP(TRIM(D386), Collection!$B$2:$D$1001, 3, FALSE), "")</f>
        <v>96,500 AED</v>
      </c>
      <c r="G386" s="49">
        <f t="shared" ref="G386:G449" si="12">IFERROR(VALUE(SUBSTITUTE(SUBSTITUTE(F386, "Price", ""), "AED", "")), "")</f>
        <v>96500</v>
      </c>
      <c r="H386" s="46" t="s">
        <v>192</v>
      </c>
      <c r="I386" s="46">
        <v>101467913</v>
      </c>
      <c r="J386" s="46" t="s">
        <v>193</v>
      </c>
      <c r="K386" s="46" t="s">
        <v>194</v>
      </c>
      <c r="L386" s="46" t="s">
        <v>1320</v>
      </c>
      <c r="M386" s="46" t="b">
        <f t="shared" ref="M386:M449" si="13">IF(COUNTIF($R$3:$R$100, D386) &gt; 0, TRUE, FALSE)</f>
        <v>0</v>
      </c>
    </row>
    <row r="387" spans="1:13" ht="31.2" x14ac:dyDescent="0.3">
      <c r="A387" s="46" t="s">
        <v>189</v>
      </c>
      <c r="B387" s="46" t="s">
        <v>1128</v>
      </c>
      <c r="C387" s="47">
        <v>45482</v>
      </c>
      <c r="D387" s="46" t="s">
        <v>56</v>
      </c>
      <c r="E387" s="46" t="str">
        <f>IFERROR(VLOOKUP(TRIM(D387), Collection!$B$2:$D$1001, 2, FALSE), "")</f>
        <v>Overseas dual time Blue</v>
      </c>
      <c r="F387" s="49" t="str">
        <f>IFERROR(VLOOKUP(TRIM(D387), Collection!$B$2:$D$1001, 3, FALSE), "")</f>
        <v>117,000 AED</v>
      </c>
      <c r="G387" s="49">
        <f t="shared" si="12"/>
        <v>117000</v>
      </c>
      <c r="H387" s="46" t="s">
        <v>192</v>
      </c>
      <c r="I387" s="46">
        <v>101428000</v>
      </c>
      <c r="J387" s="46" t="s">
        <v>193</v>
      </c>
      <c r="K387" s="46" t="s">
        <v>201</v>
      </c>
      <c r="L387" s="46" t="s">
        <v>1128</v>
      </c>
      <c r="M387" s="46" t="b">
        <f t="shared" si="13"/>
        <v>0</v>
      </c>
    </row>
    <row r="388" spans="1:13" ht="31.2" x14ac:dyDescent="0.3">
      <c r="A388" s="46" t="s">
        <v>189</v>
      </c>
      <c r="B388" s="46" t="s">
        <v>1128</v>
      </c>
      <c r="C388" s="47">
        <v>45482</v>
      </c>
      <c r="D388" s="46" t="s">
        <v>120</v>
      </c>
      <c r="E388" s="46" t="str">
        <f>IFERROR(VLOOKUP(TRIM(D388), Collection!$B$2:$D$1001, 2, FALSE), "")</f>
        <v>Overseas self-winding</v>
      </c>
      <c r="F388" s="49" t="str">
        <f>IFERROR(VLOOKUP(TRIM(D388), Collection!$B$2:$D$1001, 3, FALSE), "")</f>
        <v>94,500 AED</v>
      </c>
      <c r="G388" s="49">
        <f t="shared" si="12"/>
        <v>94500</v>
      </c>
      <c r="H388" s="46" t="s">
        <v>192</v>
      </c>
      <c r="I388" s="46">
        <v>101428000</v>
      </c>
      <c r="J388" s="46" t="s">
        <v>193</v>
      </c>
      <c r="K388" s="46" t="s">
        <v>201</v>
      </c>
      <c r="L388" s="46" t="s">
        <v>1128</v>
      </c>
      <c r="M388" s="46" t="b">
        <f t="shared" si="13"/>
        <v>0</v>
      </c>
    </row>
    <row r="389" spans="1:13" ht="46.8" x14ac:dyDescent="0.3">
      <c r="A389" s="46" t="s">
        <v>189</v>
      </c>
      <c r="B389" s="46" t="s">
        <v>1128</v>
      </c>
      <c r="C389" s="47">
        <v>45421</v>
      </c>
      <c r="D389" s="46" t="s">
        <v>89</v>
      </c>
      <c r="E389" s="46" t="str">
        <f>IFERROR(VLOOKUP(TRIM(D389), Collection!$B$2:$D$1001, 2, FALSE), "")</f>
        <v>Fiftysix self-winding</v>
      </c>
      <c r="F389" s="49" t="str">
        <f>IFERROR(VLOOKUP(TRIM(D389), Collection!$B$2:$D$1001, 3, FALSE), "")</f>
        <v>48,000 AED</v>
      </c>
      <c r="G389" s="49">
        <f t="shared" si="12"/>
        <v>48000</v>
      </c>
      <c r="H389" s="46" t="s">
        <v>192</v>
      </c>
      <c r="I389" s="46">
        <v>101369992</v>
      </c>
      <c r="J389" s="46" t="s">
        <v>193</v>
      </c>
      <c r="K389" s="46" t="s">
        <v>194</v>
      </c>
      <c r="L389" s="46" t="s">
        <v>1321</v>
      </c>
      <c r="M389" s="46" t="b">
        <f t="shared" si="13"/>
        <v>1</v>
      </c>
    </row>
    <row r="390" spans="1:13" ht="93.6" x14ac:dyDescent="0.3">
      <c r="A390" s="46" t="s">
        <v>189</v>
      </c>
      <c r="B390" s="46" t="s">
        <v>1128</v>
      </c>
      <c r="C390" s="47">
        <v>45391</v>
      </c>
      <c r="D390" s="46" t="s">
        <v>209</v>
      </c>
      <c r="E390" s="46" t="str">
        <f>IFERROR(VLOOKUP(TRIM(D390), Collection!$B$2:$D$1001, 2, FALSE), "")</f>
        <v>Overseas self-winding</v>
      </c>
      <c r="F390" s="49" t="str">
        <f>IFERROR(VLOOKUP(TRIM(D390), Collection!$B$2:$D$1001, 3, FALSE), "")</f>
        <v>94,500 AED</v>
      </c>
      <c r="G390" s="49">
        <f t="shared" si="12"/>
        <v>94500</v>
      </c>
      <c r="H390" s="46" t="s">
        <v>192</v>
      </c>
      <c r="I390" s="46">
        <v>101314200</v>
      </c>
      <c r="J390" s="46" t="s">
        <v>193</v>
      </c>
      <c r="K390" s="46" t="s">
        <v>194</v>
      </c>
      <c r="L390" s="46" t="s">
        <v>1322</v>
      </c>
      <c r="M390" s="46" t="b">
        <f t="shared" si="13"/>
        <v>0</v>
      </c>
    </row>
    <row r="391" spans="1:13" ht="140.4" x14ac:dyDescent="0.3">
      <c r="A391" s="46" t="s">
        <v>189</v>
      </c>
      <c r="B391" s="46" t="s">
        <v>229</v>
      </c>
      <c r="C391" s="47">
        <v>45391</v>
      </c>
      <c r="D391" s="46" t="s">
        <v>296</v>
      </c>
      <c r="E391" s="46" t="str">
        <f>IFERROR(VLOOKUP(TRIM(D391), Collection!$B$2:$D$1001, 2, FALSE), "")</f>
        <v>Fiftysix self-winding</v>
      </c>
      <c r="F391" s="49" t="str">
        <f>IFERROR(VLOOKUP(TRIM(D391), Collection!$B$2:$D$1001, 3, FALSE), "")</f>
        <v>96,500 AED</v>
      </c>
      <c r="G391" s="49">
        <f t="shared" si="12"/>
        <v>96500</v>
      </c>
      <c r="H391" s="46" t="s">
        <v>192</v>
      </c>
      <c r="I391" s="46">
        <v>101314200</v>
      </c>
      <c r="J391" s="46" t="s">
        <v>193</v>
      </c>
      <c r="K391" s="46" t="s">
        <v>194</v>
      </c>
      <c r="L391" s="46" t="s">
        <v>1323</v>
      </c>
      <c r="M391" s="46" t="b">
        <f t="shared" si="13"/>
        <v>0</v>
      </c>
    </row>
    <row r="392" spans="1:13" ht="31.2" x14ac:dyDescent="0.3">
      <c r="A392" s="46" t="s">
        <v>264</v>
      </c>
      <c r="B392" s="46" t="s">
        <v>264</v>
      </c>
      <c r="C392" s="47">
        <v>45391</v>
      </c>
      <c r="D392" s="46" t="s">
        <v>89</v>
      </c>
      <c r="E392" s="46" t="str">
        <f>IFERROR(VLOOKUP(TRIM(D392), Collection!$B$2:$D$1001, 2, FALSE), "")</f>
        <v>Fiftysix self-winding</v>
      </c>
      <c r="F392" s="49" t="str">
        <f>IFERROR(VLOOKUP(TRIM(D392), Collection!$B$2:$D$1001, 3, FALSE), "")</f>
        <v>48,000 AED</v>
      </c>
      <c r="G392" s="49">
        <f t="shared" si="12"/>
        <v>48000</v>
      </c>
      <c r="H392" s="46" t="s">
        <v>192</v>
      </c>
      <c r="I392" s="46">
        <v>101009393</v>
      </c>
      <c r="J392" s="46" t="s">
        <v>193</v>
      </c>
      <c r="K392" s="46" t="s">
        <v>201</v>
      </c>
      <c r="L392" s="46" t="s">
        <v>1128</v>
      </c>
      <c r="M392" s="46" t="b">
        <f t="shared" si="13"/>
        <v>1</v>
      </c>
    </row>
    <row r="393" spans="1:13" ht="31.2" x14ac:dyDescent="0.3">
      <c r="A393" s="46" t="s">
        <v>264</v>
      </c>
      <c r="B393" s="46" t="s">
        <v>264</v>
      </c>
      <c r="C393" s="47">
        <v>45360</v>
      </c>
      <c r="D393" s="46" t="s">
        <v>56</v>
      </c>
      <c r="E393" s="46" t="str">
        <f>IFERROR(VLOOKUP(TRIM(D393), Collection!$B$2:$D$1001, 2, FALSE), "")</f>
        <v>Overseas dual time Blue</v>
      </c>
      <c r="F393" s="49" t="str">
        <f>IFERROR(VLOOKUP(TRIM(D393), Collection!$B$2:$D$1001, 3, FALSE), "")</f>
        <v>117,000 AED</v>
      </c>
      <c r="G393" s="49">
        <f t="shared" si="12"/>
        <v>117000</v>
      </c>
      <c r="H393" s="46" t="s">
        <v>192</v>
      </c>
      <c r="I393" s="46">
        <v>101364406</v>
      </c>
      <c r="J393" s="46" t="s">
        <v>193</v>
      </c>
      <c r="K393" s="46" t="s">
        <v>201</v>
      </c>
      <c r="L393" s="46" t="s">
        <v>1128</v>
      </c>
      <c r="M393" s="46" t="b">
        <f t="shared" si="13"/>
        <v>0</v>
      </c>
    </row>
    <row r="394" spans="1:13" ht="46.8" x14ac:dyDescent="0.3">
      <c r="A394" s="46" t="s">
        <v>189</v>
      </c>
      <c r="B394" s="46" t="s">
        <v>1128</v>
      </c>
      <c r="C394" s="46" t="s">
        <v>914</v>
      </c>
      <c r="D394" s="46" t="s">
        <v>209</v>
      </c>
      <c r="E394" s="46" t="str">
        <f>IFERROR(VLOOKUP(TRIM(D394), Collection!$B$2:$D$1001, 2, FALSE), "")</f>
        <v>Overseas self-winding</v>
      </c>
      <c r="F394" s="49" t="str">
        <f>IFERROR(VLOOKUP(TRIM(D394), Collection!$B$2:$D$1001, 3, FALSE), "")</f>
        <v>94,500 AED</v>
      </c>
      <c r="G394" s="49">
        <f t="shared" si="12"/>
        <v>94500</v>
      </c>
      <c r="H394" s="46" t="s">
        <v>192</v>
      </c>
      <c r="I394" s="46">
        <v>101314200</v>
      </c>
      <c r="J394" s="46" t="s">
        <v>193</v>
      </c>
      <c r="K394" s="46" t="s">
        <v>194</v>
      </c>
      <c r="L394" s="46" t="s">
        <v>1324</v>
      </c>
      <c r="M394" s="46" t="b">
        <f t="shared" si="13"/>
        <v>0</v>
      </c>
    </row>
    <row r="395" spans="1:13" ht="31.2" x14ac:dyDescent="0.3">
      <c r="A395" s="46" t="s">
        <v>189</v>
      </c>
      <c r="B395" s="46" t="s">
        <v>1128</v>
      </c>
      <c r="C395" s="46" t="s">
        <v>916</v>
      </c>
      <c r="D395" s="46" t="s">
        <v>56</v>
      </c>
      <c r="E395" s="46" t="str">
        <f>IFERROR(VLOOKUP(TRIM(D395), Collection!$B$2:$D$1001, 2, FALSE), "")</f>
        <v>Overseas dual time Blue</v>
      </c>
      <c r="F395" s="49" t="str">
        <f>IFERROR(VLOOKUP(TRIM(D395), Collection!$B$2:$D$1001, 3, FALSE), "")</f>
        <v>117,000 AED</v>
      </c>
      <c r="G395" s="49">
        <f t="shared" si="12"/>
        <v>117000</v>
      </c>
      <c r="H395" s="46" t="s">
        <v>192</v>
      </c>
      <c r="I395" s="46">
        <v>101302751</v>
      </c>
      <c r="J395" s="46" t="s">
        <v>193</v>
      </c>
      <c r="K395" s="46" t="s">
        <v>201</v>
      </c>
      <c r="L395" s="46"/>
      <c r="M395" s="46" t="b">
        <f t="shared" si="13"/>
        <v>0</v>
      </c>
    </row>
    <row r="396" spans="1:13" ht="31.2" x14ac:dyDescent="0.3">
      <c r="A396" s="46" t="s">
        <v>189</v>
      </c>
      <c r="B396" s="46" t="s">
        <v>1128</v>
      </c>
      <c r="C396" s="46" t="s">
        <v>918</v>
      </c>
      <c r="D396" s="46" t="s">
        <v>120</v>
      </c>
      <c r="E396" s="46" t="str">
        <f>IFERROR(VLOOKUP(TRIM(D396), Collection!$B$2:$D$1001, 2, FALSE), "")</f>
        <v>Overseas self-winding</v>
      </c>
      <c r="F396" s="49" t="str">
        <f>IFERROR(VLOOKUP(TRIM(D396), Collection!$B$2:$D$1001, 3, FALSE), "")</f>
        <v>94,500 AED</v>
      </c>
      <c r="G396" s="49">
        <f t="shared" si="12"/>
        <v>94500</v>
      </c>
      <c r="H396" s="46" t="s">
        <v>192</v>
      </c>
      <c r="I396" s="46">
        <v>101283226</v>
      </c>
      <c r="J396" s="46" t="s">
        <v>193</v>
      </c>
      <c r="K396" s="46" t="s">
        <v>204</v>
      </c>
      <c r="L396" s="46" t="s">
        <v>1325</v>
      </c>
      <c r="M396" s="46" t="b">
        <f t="shared" si="13"/>
        <v>0</v>
      </c>
    </row>
    <row r="397" spans="1:13" ht="46.8" x14ac:dyDescent="0.3">
      <c r="A397" s="46" t="s">
        <v>264</v>
      </c>
      <c r="B397" s="46" t="s">
        <v>264</v>
      </c>
      <c r="C397" s="46" t="s">
        <v>921</v>
      </c>
      <c r="D397" s="46" t="s">
        <v>14</v>
      </c>
      <c r="E397" s="46" t="str">
        <f>IFERROR(VLOOKUP(TRIM(D397), Collection!$B$2:$D$1001, 2, FALSE), "")</f>
        <v>Overseas quartz</v>
      </c>
      <c r="F397" s="49" t="str">
        <f>IFERROR(VLOOKUP(TRIM(D397), Collection!$B$2:$D$1001, 3, FALSE), "")</f>
        <v>62,500 AED</v>
      </c>
      <c r="G397" s="49">
        <f t="shared" si="12"/>
        <v>62500</v>
      </c>
      <c r="H397" s="46" t="s">
        <v>192</v>
      </c>
      <c r="I397" s="46">
        <v>101220865</v>
      </c>
      <c r="J397" s="46" t="s">
        <v>193</v>
      </c>
      <c r="K397" s="46" t="s">
        <v>194</v>
      </c>
      <c r="L397" s="46" t="s">
        <v>1326</v>
      </c>
      <c r="M397" s="46" t="b">
        <f t="shared" si="13"/>
        <v>0</v>
      </c>
    </row>
    <row r="398" spans="1:13" ht="93.6" x14ac:dyDescent="0.3">
      <c r="A398" s="46" t="s">
        <v>189</v>
      </c>
      <c r="B398" s="46" t="s">
        <v>1128</v>
      </c>
      <c r="C398" s="46" t="s">
        <v>924</v>
      </c>
      <c r="D398" s="46" t="s">
        <v>120</v>
      </c>
      <c r="E398" s="46" t="str">
        <f>IFERROR(VLOOKUP(TRIM(D398), Collection!$B$2:$D$1001, 2, FALSE), "")</f>
        <v>Overseas self-winding</v>
      </c>
      <c r="F398" s="49" t="str">
        <f>IFERROR(VLOOKUP(TRIM(D398), Collection!$B$2:$D$1001, 3, FALSE), "")</f>
        <v>94,500 AED</v>
      </c>
      <c r="G398" s="49">
        <f t="shared" si="12"/>
        <v>94500</v>
      </c>
      <c r="H398" s="46" t="s">
        <v>192</v>
      </c>
      <c r="I398" s="46">
        <v>101145972</v>
      </c>
      <c r="J398" s="46" t="s">
        <v>193</v>
      </c>
      <c r="K398" s="46" t="s">
        <v>194</v>
      </c>
      <c r="L398" s="46" t="s">
        <v>1327</v>
      </c>
      <c r="M398" s="46" t="b">
        <f t="shared" si="13"/>
        <v>0</v>
      </c>
    </row>
    <row r="399" spans="1:13" ht="31.2" x14ac:dyDescent="0.3">
      <c r="A399" s="46" t="s">
        <v>189</v>
      </c>
      <c r="B399" s="46" t="s">
        <v>1128</v>
      </c>
      <c r="C399" s="46" t="s">
        <v>927</v>
      </c>
      <c r="D399" s="46" t="s">
        <v>120</v>
      </c>
      <c r="E399" s="46" t="str">
        <f>IFERROR(VLOOKUP(TRIM(D399), Collection!$B$2:$D$1001, 2, FALSE), "")</f>
        <v>Overseas self-winding</v>
      </c>
      <c r="F399" s="49" t="str">
        <f>IFERROR(VLOOKUP(TRIM(D399), Collection!$B$2:$D$1001, 3, FALSE), "")</f>
        <v>94,500 AED</v>
      </c>
      <c r="G399" s="49">
        <f t="shared" si="12"/>
        <v>94500</v>
      </c>
      <c r="H399" s="46" t="s">
        <v>192</v>
      </c>
      <c r="I399" s="46">
        <v>101196299</v>
      </c>
      <c r="J399" s="46" t="s">
        <v>193</v>
      </c>
      <c r="K399" s="46" t="s">
        <v>201</v>
      </c>
      <c r="L399" s="46"/>
      <c r="M399" s="46" t="b">
        <f t="shared" si="13"/>
        <v>0</v>
      </c>
    </row>
    <row r="400" spans="1:13" ht="78" x14ac:dyDescent="0.3">
      <c r="A400" s="46" t="s">
        <v>189</v>
      </c>
      <c r="B400" s="46" t="s">
        <v>229</v>
      </c>
      <c r="C400" s="46" t="s">
        <v>929</v>
      </c>
      <c r="D400" s="46" t="s">
        <v>128</v>
      </c>
      <c r="E400" s="46" t="str">
        <f>IFERROR(VLOOKUP(TRIM(D400), Collection!$B$2:$D$1001, 2, FALSE), "")</f>
        <v>Overseas chronograph Pink Gold</v>
      </c>
      <c r="F400" s="49" t="str">
        <f>IFERROR(VLOOKUP(TRIM(D400), Collection!$B$2:$D$1001, 3, FALSE), "")</f>
        <v>299,000 AED</v>
      </c>
      <c r="G400" s="49">
        <f t="shared" si="12"/>
        <v>299000</v>
      </c>
      <c r="H400" s="46" t="s">
        <v>192</v>
      </c>
      <c r="I400" s="46">
        <v>101110183</v>
      </c>
      <c r="J400" s="46" t="s">
        <v>193</v>
      </c>
      <c r="K400" s="46" t="s">
        <v>194</v>
      </c>
      <c r="L400" s="46" t="s">
        <v>1328</v>
      </c>
      <c r="M400" s="46" t="b">
        <f t="shared" si="13"/>
        <v>1</v>
      </c>
    </row>
    <row r="401" spans="1:13" ht="93.6" x14ac:dyDescent="0.3">
      <c r="A401" s="46" t="s">
        <v>189</v>
      </c>
      <c r="B401" s="46" t="s">
        <v>1128</v>
      </c>
      <c r="C401" s="46" t="s">
        <v>932</v>
      </c>
      <c r="D401" s="46" t="s">
        <v>686</v>
      </c>
      <c r="E401" s="46" t="str">
        <f>IFERROR(VLOOKUP(TRIM(D401), Collection!$B$2:$D$1001, 2, FALSE), "")</f>
        <v>Overseas chronograph</v>
      </c>
      <c r="F401" s="49" t="str">
        <f>IFERROR(VLOOKUP(TRIM(D401), Collection!$B$2:$D$1001, 3, FALSE), "")</f>
        <v>135,000 AED</v>
      </c>
      <c r="G401" s="49">
        <f t="shared" si="12"/>
        <v>135000</v>
      </c>
      <c r="H401" s="46" t="s">
        <v>192</v>
      </c>
      <c r="I401" s="46">
        <v>101104408</v>
      </c>
      <c r="J401" s="46" t="s">
        <v>193</v>
      </c>
      <c r="K401" s="46" t="s">
        <v>194</v>
      </c>
      <c r="L401" s="46" t="s">
        <v>1329</v>
      </c>
      <c r="M401" s="46" t="b">
        <f t="shared" si="13"/>
        <v>0</v>
      </c>
    </row>
    <row r="402" spans="1:13" ht="109.2" x14ac:dyDescent="0.3">
      <c r="A402" s="46" t="s">
        <v>264</v>
      </c>
      <c r="B402" s="46" t="s">
        <v>264</v>
      </c>
      <c r="C402" s="46" t="s">
        <v>932</v>
      </c>
      <c r="D402" s="46" t="s">
        <v>56</v>
      </c>
      <c r="E402" s="46" t="str">
        <f>IFERROR(VLOOKUP(TRIM(D402), Collection!$B$2:$D$1001, 2, FALSE), "")</f>
        <v>Overseas dual time Blue</v>
      </c>
      <c r="F402" s="49" t="str">
        <f>IFERROR(VLOOKUP(TRIM(D402), Collection!$B$2:$D$1001, 3, FALSE), "")</f>
        <v>117,000 AED</v>
      </c>
      <c r="G402" s="49">
        <f t="shared" si="12"/>
        <v>117000</v>
      </c>
      <c r="H402" s="46" t="s">
        <v>192</v>
      </c>
      <c r="I402" s="46">
        <v>101104467</v>
      </c>
      <c r="J402" s="46" t="s">
        <v>193</v>
      </c>
      <c r="K402" s="46" t="s">
        <v>201</v>
      </c>
      <c r="L402" s="46" t="s">
        <v>1330</v>
      </c>
      <c r="M402" s="46" t="b">
        <f t="shared" si="13"/>
        <v>0</v>
      </c>
    </row>
    <row r="403" spans="1:13" ht="109.2" x14ac:dyDescent="0.3">
      <c r="A403" s="46" t="s">
        <v>264</v>
      </c>
      <c r="B403" s="46" t="s">
        <v>264</v>
      </c>
      <c r="C403" s="46" t="s">
        <v>932</v>
      </c>
      <c r="D403" s="46" t="s">
        <v>241</v>
      </c>
      <c r="E403" s="46" t="str">
        <f>IFERROR(VLOOKUP(TRIM(D403), Collection!$B$2:$D$1001, 2, FALSE), "")</f>
        <v>Overseas chronograph</v>
      </c>
      <c r="F403" s="49" t="str">
        <f>IFERROR(VLOOKUP(TRIM(D403), Collection!$B$2:$D$1001, 3, FALSE), "")</f>
        <v>135,000 AED</v>
      </c>
      <c r="G403" s="49">
        <f t="shared" si="12"/>
        <v>135000</v>
      </c>
      <c r="H403" s="46" t="s">
        <v>192</v>
      </c>
      <c r="I403" s="46">
        <v>101104467</v>
      </c>
      <c r="J403" s="46" t="s">
        <v>193</v>
      </c>
      <c r="K403" s="46" t="s">
        <v>201</v>
      </c>
      <c r="L403" s="46" t="s">
        <v>1330</v>
      </c>
      <c r="M403" s="46" t="b">
        <f t="shared" si="13"/>
        <v>0</v>
      </c>
    </row>
    <row r="404" spans="1:13" ht="78" x14ac:dyDescent="0.3">
      <c r="A404" s="46" t="s">
        <v>264</v>
      </c>
      <c r="B404" s="46" t="s">
        <v>264</v>
      </c>
      <c r="C404" s="47">
        <v>45573</v>
      </c>
      <c r="D404" s="46" t="s">
        <v>132</v>
      </c>
      <c r="E404" s="46" t="str">
        <f>IFERROR(VLOOKUP(TRIM(D404), Collection!$B$2:$D$1001, 2, FALSE), "")</f>
        <v>Overseas moon phase retrograde date</v>
      </c>
      <c r="F404" s="49" t="str">
        <f>IFERROR(VLOOKUP(TRIM(D404), Collection!$B$2:$D$1001, 3, FALSE), "")</f>
        <v>166,000 AED</v>
      </c>
      <c r="G404" s="49">
        <f t="shared" si="12"/>
        <v>166000</v>
      </c>
      <c r="H404" s="46" t="s">
        <v>192</v>
      </c>
      <c r="I404" s="46">
        <v>101055665</v>
      </c>
      <c r="J404" s="46" t="s">
        <v>193</v>
      </c>
      <c r="K404" s="46" t="s">
        <v>201</v>
      </c>
      <c r="L404" s="46" t="s">
        <v>1331</v>
      </c>
      <c r="M404" s="46" t="b">
        <f t="shared" si="13"/>
        <v>0</v>
      </c>
    </row>
    <row r="405" spans="1:13" ht="109.2" x14ac:dyDescent="0.3">
      <c r="A405" s="46" t="s">
        <v>264</v>
      </c>
      <c r="B405" s="46" t="s">
        <v>264</v>
      </c>
      <c r="C405" s="47">
        <v>45512</v>
      </c>
      <c r="D405" s="46" t="s">
        <v>154</v>
      </c>
      <c r="E405" s="46" t="str">
        <f>IFERROR(VLOOKUP(TRIM(D405), Collection!$B$2:$D$1001, 2, FALSE), "")</f>
        <v>Overseas self-winding Green</v>
      </c>
      <c r="F405" s="49" t="str">
        <f>IFERROR(VLOOKUP(TRIM(D405), Collection!$B$2:$D$1001, 3, FALSE), "")</f>
        <v>229,000 AED</v>
      </c>
      <c r="G405" s="49">
        <f t="shared" si="12"/>
        <v>229000</v>
      </c>
      <c r="H405" s="46" t="s">
        <v>192</v>
      </c>
      <c r="I405" s="46">
        <v>101009517</v>
      </c>
      <c r="J405" s="46" t="s">
        <v>193</v>
      </c>
      <c r="K405" s="46" t="s">
        <v>201</v>
      </c>
      <c r="L405" s="46" t="s">
        <v>1332</v>
      </c>
      <c r="M405" s="46" t="b">
        <f t="shared" si="13"/>
        <v>0</v>
      </c>
    </row>
    <row r="406" spans="1:13" ht="109.2" x14ac:dyDescent="0.3">
      <c r="A406" s="46" t="s">
        <v>264</v>
      </c>
      <c r="B406" s="46" t="s">
        <v>264</v>
      </c>
      <c r="C406" s="47">
        <v>45512</v>
      </c>
      <c r="D406" s="46" t="s">
        <v>147</v>
      </c>
      <c r="E406" s="46" t="str">
        <f>IFERROR(VLOOKUP(TRIM(D406), Collection!$B$2:$D$1001, 2, FALSE), "")</f>
        <v>Overseas dual time Green</v>
      </c>
      <c r="F406" s="49" t="str">
        <f>IFERROR(VLOOKUP(TRIM(D406), Collection!$B$2:$D$1001, 3, FALSE), "")</f>
        <v>286,000 AED</v>
      </c>
      <c r="G406" s="49">
        <f t="shared" si="12"/>
        <v>286000</v>
      </c>
      <c r="H406" s="46" t="s">
        <v>192</v>
      </c>
      <c r="I406" s="46">
        <v>101009517</v>
      </c>
      <c r="J406" s="46" t="s">
        <v>193</v>
      </c>
      <c r="K406" s="46" t="s">
        <v>201</v>
      </c>
      <c r="L406" s="46" t="s">
        <v>1332</v>
      </c>
      <c r="M406" s="46" t="b">
        <f t="shared" si="13"/>
        <v>0</v>
      </c>
    </row>
    <row r="407" spans="1:13" ht="31.2" x14ac:dyDescent="0.3">
      <c r="A407" s="46" t="s">
        <v>264</v>
      </c>
      <c r="B407" s="46" t="s">
        <v>264</v>
      </c>
      <c r="C407" s="47">
        <v>45512</v>
      </c>
      <c r="D407" s="46" t="s">
        <v>310</v>
      </c>
      <c r="E407" s="46" t="str">
        <f>IFERROR(VLOOKUP(TRIM(D407), Collection!$B$2:$D$1001, 2, FALSE), "")</f>
        <v>Overseas chronograph</v>
      </c>
      <c r="F407" s="49" t="str">
        <f>IFERROR(VLOOKUP(TRIM(D407), Collection!$B$2:$D$1001, 3, FALSE), "")</f>
        <v>299,000 AED</v>
      </c>
      <c r="G407" s="49">
        <f t="shared" si="12"/>
        <v>299000</v>
      </c>
      <c r="H407" s="46" t="s">
        <v>192</v>
      </c>
      <c r="I407" s="46">
        <v>101032092</v>
      </c>
      <c r="J407" s="46" t="s">
        <v>193</v>
      </c>
      <c r="K407" s="46" t="s">
        <v>201</v>
      </c>
      <c r="L407" s="46"/>
      <c r="M407" s="46" t="b">
        <f t="shared" si="13"/>
        <v>0</v>
      </c>
    </row>
    <row r="408" spans="1:13" ht="78" x14ac:dyDescent="0.3">
      <c r="A408" s="46" t="s">
        <v>69</v>
      </c>
      <c r="B408" s="46" t="s">
        <v>229</v>
      </c>
      <c r="C408" s="47">
        <v>45512</v>
      </c>
      <c r="D408" s="46" t="s">
        <v>147</v>
      </c>
      <c r="E408" s="46" t="str">
        <f>IFERROR(VLOOKUP(TRIM(D408), Collection!$B$2:$D$1001, 2, FALSE), "")</f>
        <v>Overseas dual time Green</v>
      </c>
      <c r="F408" s="49" t="str">
        <f>IFERROR(VLOOKUP(TRIM(D408), Collection!$B$2:$D$1001, 3, FALSE), "")</f>
        <v>286,000 AED</v>
      </c>
      <c r="G408" s="49">
        <f t="shared" si="12"/>
        <v>286000</v>
      </c>
      <c r="H408" s="46" t="s">
        <v>192</v>
      </c>
      <c r="I408" s="46">
        <v>100436027</v>
      </c>
      <c r="J408" s="46" t="s">
        <v>193</v>
      </c>
      <c r="K408" s="46" t="s">
        <v>204</v>
      </c>
      <c r="L408" s="46" t="s">
        <v>1333</v>
      </c>
      <c r="M408" s="46" t="b">
        <f t="shared" si="13"/>
        <v>0</v>
      </c>
    </row>
    <row r="409" spans="1:13" ht="62.4" x14ac:dyDescent="0.3">
      <c r="A409" s="46" t="s">
        <v>189</v>
      </c>
      <c r="B409" s="46" t="s">
        <v>1128</v>
      </c>
      <c r="C409" s="47">
        <v>45512</v>
      </c>
      <c r="D409" s="46" t="s">
        <v>944</v>
      </c>
      <c r="E409" s="46" t="str">
        <f>IFERROR(VLOOKUP(TRIM(D409), Collection!$B$2:$D$1001, 2, FALSE), "")</f>
        <v>Overseas dual time</v>
      </c>
      <c r="F409" s="49" t="str">
        <f>IFERROR(VLOOKUP(TRIM(D409), Collection!$B$2:$D$1001, 3, FALSE), "")</f>
        <v>184,000 AED</v>
      </c>
      <c r="G409" s="49">
        <f t="shared" si="12"/>
        <v>184000</v>
      </c>
      <c r="H409" s="46" t="s">
        <v>192</v>
      </c>
      <c r="I409" s="46">
        <v>101036635</v>
      </c>
      <c r="J409" s="46" t="s">
        <v>193</v>
      </c>
      <c r="K409" s="46" t="s">
        <v>194</v>
      </c>
      <c r="L409" s="46" t="s">
        <v>1334</v>
      </c>
      <c r="M409" s="46" t="b">
        <f t="shared" si="13"/>
        <v>0</v>
      </c>
    </row>
    <row r="410" spans="1:13" ht="62.4" x14ac:dyDescent="0.3">
      <c r="A410" s="46" t="s">
        <v>264</v>
      </c>
      <c r="B410" s="46" t="s">
        <v>264</v>
      </c>
      <c r="C410" s="47">
        <v>45481</v>
      </c>
      <c r="D410" s="46" t="s">
        <v>56</v>
      </c>
      <c r="E410" s="46" t="str">
        <f>IFERROR(VLOOKUP(TRIM(D410), Collection!$B$2:$D$1001, 2, FALSE), "")</f>
        <v>Overseas dual time Blue</v>
      </c>
      <c r="F410" s="49" t="str">
        <f>IFERROR(VLOOKUP(TRIM(D410), Collection!$B$2:$D$1001, 3, FALSE), "")</f>
        <v>117,000 AED</v>
      </c>
      <c r="G410" s="49">
        <f t="shared" si="12"/>
        <v>117000</v>
      </c>
      <c r="H410" s="46" t="s">
        <v>192</v>
      </c>
      <c r="I410" s="46">
        <v>101011549</v>
      </c>
      <c r="J410" s="46" t="s">
        <v>193</v>
      </c>
      <c r="K410" s="46" t="s">
        <v>201</v>
      </c>
      <c r="L410" s="46" t="s">
        <v>1335</v>
      </c>
      <c r="M410" s="46" t="b">
        <f t="shared" si="13"/>
        <v>0</v>
      </c>
    </row>
    <row r="411" spans="1:13" ht="78" x14ac:dyDescent="0.3">
      <c r="A411" s="46" t="s">
        <v>264</v>
      </c>
      <c r="B411" s="46" t="s">
        <v>264</v>
      </c>
      <c r="C411" s="47">
        <v>45481</v>
      </c>
      <c r="D411" s="46" t="s">
        <v>160</v>
      </c>
      <c r="E411" s="46" t="str">
        <f>IFERROR(VLOOKUP(TRIM(D411), Collection!$B$2:$D$1001, 2, FALSE), "")</f>
        <v>Overseas dual time Black</v>
      </c>
      <c r="F411" s="49" t="str">
        <f>IFERROR(VLOOKUP(TRIM(D411), Collection!$B$2:$D$1001, 3, FALSE), "")</f>
        <v>117,000 AED</v>
      </c>
      <c r="G411" s="49">
        <f t="shared" si="12"/>
        <v>117000</v>
      </c>
      <c r="H411" s="46" t="s">
        <v>192</v>
      </c>
      <c r="I411" s="46">
        <v>101011549</v>
      </c>
      <c r="J411" s="46" t="s">
        <v>193</v>
      </c>
      <c r="K411" s="46" t="s">
        <v>201</v>
      </c>
      <c r="L411" s="46" t="s">
        <v>1336</v>
      </c>
      <c r="M411" s="46" t="b">
        <f t="shared" si="13"/>
        <v>0</v>
      </c>
    </row>
    <row r="412" spans="1:13" ht="46.8" x14ac:dyDescent="0.3">
      <c r="A412" s="46" t="s">
        <v>264</v>
      </c>
      <c r="B412" s="46" t="s">
        <v>264</v>
      </c>
      <c r="C412" s="47">
        <v>45451</v>
      </c>
      <c r="D412" s="46" t="s">
        <v>120</v>
      </c>
      <c r="E412" s="46" t="str">
        <f>IFERROR(VLOOKUP(TRIM(D412), Collection!$B$2:$D$1001, 2, FALSE), "")</f>
        <v>Overseas self-winding</v>
      </c>
      <c r="F412" s="49" t="str">
        <f>IFERROR(VLOOKUP(TRIM(D412), Collection!$B$2:$D$1001, 3, FALSE), "")</f>
        <v>94,500 AED</v>
      </c>
      <c r="G412" s="49">
        <f t="shared" si="12"/>
        <v>94500</v>
      </c>
      <c r="H412" s="46" t="s">
        <v>192</v>
      </c>
      <c r="I412" s="46">
        <v>101009517</v>
      </c>
      <c r="J412" s="46" t="s">
        <v>193</v>
      </c>
      <c r="K412" s="46" t="s">
        <v>201</v>
      </c>
      <c r="L412" s="46" t="s">
        <v>1337</v>
      </c>
      <c r="M412" s="46" t="b">
        <f t="shared" si="13"/>
        <v>0</v>
      </c>
    </row>
    <row r="413" spans="1:13" ht="46.8" x14ac:dyDescent="0.3">
      <c r="A413" s="46" t="s">
        <v>189</v>
      </c>
      <c r="B413" s="46" t="s">
        <v>698</v>
      </c>
      <c r="C413" s="47">
        <v>45451</v>
      </c>
      <c r="D413" s="46" t="s">
        <v>95</v>
      </c>
      <c r="E413" s="46" t="str">
        <f>IFERROR(VLOOKUP(TRIM(D413), Collection!$B$2:$D$1001, 2, FALSE), "")</f>
        <v>Overseas self-winding</v>
      </c>
      <c r="F413" s="49" t="str">
        <f>IFERROR(VLOOKUP(TRIM(D413), Collection!$B$2:$D$1001, 3, FALSE), "")</f>
        <v>229,000 AED</v>
      </c>
      <c r="G413" s="49">
        <f t="shared" si="12"/>
        <v>229000</v>
      </c>
      <c r="H413" s="46" t="s">
        <v>192</v>
      </c>
      <c r="I413" s="46">
        <v>101009517</v>
      </c>
      <c r="J413" s="46" t="s">
        <v>193</v>
      </c>
      <c r="K413" s="46" t="s">
        <v>201</v>
      </c>
      <c r="L413" s="46" t="s">
        <v>1338</v>
      </c>
      <c r="M413" s="46" t="b">
        <f t="shared" si="13"/>
        <v>0</v>
      </c>
    </row>
    <row r="414" spans="1:13" ht="46.8" x14ac:dyDescent="0.3">
      <c r="A414" s="46" t="s">
        <v>264</v>
      </c>
      <c r="B414" s="46" t="s">
        <v>264</v>
      </c>
      <c r="C414" s="47">
        <v>45451</v>
      </c>
      <c r="D414" s="46" t="s">
        <v>95</v>
      </c>
      <c r="E414" s="46" t="str">
        <f>IFERROR(VLOOKUP(TRIM(D414), Collection!$B$2:$D$1001, 2, FALSE), "")</f>
        <v>Overseas self-winding</v>
      </c>
      <c r="F414" s="49" t="str">
        <f>IFERROR(VLOOKUP(TRIM(D414), Collection!$B$2:$D$1001, 3, FALSE), "")</f>
        <v>229,000 AED</v>
      </c>
      <c r="G414" s="49">
        <f t="shared" si="12"/>
        <v>229000</v>
      </c>
      <c r="H414" s="46" t="s">
        <v>192</v>
      </c>
      <c r="I414" s="46">
        <v>100962157</v>
      </c>
      <c r="J414" s="46" t="s">
        <v>193</v>
      </c>
      <c r="K414" s="46" t="s">
        <v>201</v>
      </c>
      <c r="L414" s="46" t="s">
        <v>1339</v>
      </c>
      <c r="M414" s="46" t="b">
        <f t="shared" si="13"/>
        <v>0</v>
      </c>
    </row>
    <row r="415" spans="1:13" ht="62.4" x14ac:dyDescent="0.3">
      <c r="A415" s="46" t="s">
        <v>264</v>
      </c>
      <c r="B415" s="46" t="s">
        <v>264</v>
      </c>
      <c r="C415" s="47">
        <v>45451</v>
      </c>
      <c r="D415" s="46" t="s">
        <v>956</v>
      </c>
      <c r="E415" s="46" t="str">
        <f>IFERROR(VLOOKUP(TRIM(D415), Collection!$B$2:$D$1001, 2, FALSE), "")</f>
        <v>Overseas perpetual calendar ultra-thin</v>
      </c>
      <c r="F415" s="49" t="str">
        <f>IFERROR(VLOOKUP(TRIM(D415), Collection!$B$2:$D$1001, 3, FALSE), "")</f>
        <v>442,000 AED</v>
      </c>
      <c r="G415" s="49">
        <f t="shared" si="12"/>
        <v>442000</v>
      </c>
      <c r="H415" s="46" t="s">
        <v>192</v>
      </c>
      <c r="I415" s="46">
        <v>100962157</v>
      </c>
      <c r="J415" s="46" t="s">
        <v>193</v>
      </c>
      <c r="K415" s="46" t="s">
        <v>201</v>
      </c>
      <c r="L415" s="46" t="s">
        <v>1340</v>
      </c>
      <c r="M415" s="46" t="b">
        <f t="shared" si="13"/>
        <v>0</v>
      </c>
    </row>
    <row r="416" spans="1:13" ht="93.6" x14ac:dyDescent="0.3">
      <c r="A416" s="46" t="s">
        <v>189</v>
      </c>
      <c r="B416" s="46" t="s">
        <v>1128</v>
      </c>
      <c r="C416" s="46" t="s">
        <v>958</v>
      </c>
      <c r="D416" s="46" t="s">
        <v>89</v>
      </c>
      <c r="E416" s="46" t="str">
        <f>IFERROR(VLOOKUP(TRIM(D416), Collection!$B$2:$D$1001, 2, FALSE), "")</f>
        <v>Fiftysix self-winding</v>
      </c>
      <c r="F416" s="49" t="str">
        <f>IFERROR(VLOOKUP(TRIM(D416), Collection!$B$2:$D$1001, 3, FALSE), "")</f>
        <v>48,000 AED</v>
      </c>
      <c r="G416" s="49">
        <f t="shared" si="12"/>
        <v>48000</v>
      </c>
      <c r="H416" s="46" t="s">
        <v>192</v>
      </c>
      <c r="I416" s="46">
        <v>100830227</v>
      </c>
      <c r="J416" s="46" t="s">
        <v>193</v>
      </c>
      <c r="K416" s="46" t="s">
        <v>194</v>
      </c>
      <c r="L416" s="46" t="s">
        <v>1341</v>
      </c>
      <c r="M416" s="46" t="b">
        <f t="shared" si="13"/>
        <v>1</v>
      </c>
    </row>
    <row r="417" spans="1:13" ht="93.6" x14ac:dyDescent="0.3">
      <c r="A417" s="46" t="s">
        <v>189</v>
      </c>
      <c r="B417" s="46" t="s">
        <v>1128</v>
      </c>
      <c r="C417" s="46" t="s">
        <v>958</v>
      </c>
      <c r="D417" s="46" t="s">
        <v>80</v>
      </c>
      <c r="E417" s="46" t="str">
        <f>IFERROR(VLOOKUP(TRIM(D417), Collection!$B$2:$D$1001, 2, FALSE), "")</f>
        <v>Historiques 222</v>
      </c>
      <c r="F417" s="49" t="str">
        <f>IFERROR(VLOOKUP(TRIM(D417), Collection!$B$2:$D$1001, 3, FALSE), "")</f>
        <v>279,000 AED</v>
      </c>
      <c r="G417" s="49">
        <f t="shared" si="12"/>
        <v>279000</v>
      </c>
      <c r="H417" s="46" t="s">
        <v>192</v>
      </c>
      <c r="I417" s="46">
        <v>100833648</v>
      </c>
      <c r="J417" s="46" t="s">
        <v>193</v>
      </c>
      <c r="K417" s="46" t="s">
        <v>194</v>
      </c>
      <c r="L417" s="46" t="s">
        <v>1342</v>
      </c>
      <c r="M417" s="46" t="b">
        <f t="shared" si="13"/>
        <v>1</v>
      </c>
    </row>
    <row r="418" spans="1:13" ht="78" x14ac:dyDescent="0.3">
      <c r="A418" s="46" t="s">
        <v>189</v>
      </c>
      <c r="B418" s="46" t="s">
        <v>1128</v>
      </c>
      <c r="C418" s="46" t="s">
        <v>963</v>
      </c>
      <c r="D418" s="46" t="s">
        <v>120</v>
      </c>
      <c r="E418" s="46" t="str">
        <f>IFERROR(VLOOKUP(TRIM(D418), Collection!$B$2:$D$1001, 2, FALSE), "")</f>
        <v>Overseas self-winding</v>
      </c>
      <c r="F418" s="49" t="str">
        <f>IFERROR(VLOOKUP(TRIM(D418), Collection!$B$2:$D$1001, 3, FALSE), "")</f>
        <v>94,500 AED</v>
      </c>
      <c r="G418" s="49">
        <f t="shared" si="12"/>
        <v>94500</v>
      </c>
      <c r="H418" s="46" t="s">
        <v>192</v>
      </c>
      <c r="I418" s="46">
        <v>100793790</v>
      </c>
      <c r="J418" s="46" t="s">
        <v>193</v>
      </c>
      <c r="K418" s="46" t="s">
        <v>194</v>
      </c>
      <c r="L418" s="46" t="s">
        <v>1343</v>
      </c>
      <c r="M418" s="46" t="b">
        <f t="shared" si="13"/>
        <v>0</v>
      </c>
    </row>
    <row r="419" spans="1:13" ht="78" x14ac:dyDescent="0.3">
      <c r="A419" s="46" t="s">
        <v>189</v>
      </c>
      <c r="B419" s="46" t="s">
        <v>1128</v>
      </c>
      <c r="C419" s="46" t="s">
        <v>963</v>
      </c>
      <c r="D419" s="46" t="s">
        <v>120</v>
      </c>
      <c r="E419" s="46" t="str">
        <f>IFERROR(VLOOKUP(TRIM(D419), Collection!$B$2:$D$1001, 2, FALSE), "")</f>
        <v>Overseas self-winding</v>
      </c>
      <c r="F419" s="49" t="str">
        <f>IFERROR(VLOOKUP(TRIM(D419), Collection!$B$2:$D$1001, 3, FALSE), "")</f>
        <v>94,500 AED</v>
      </c>
      <c r="G419" s="49">
        <f t="shared" si="12"/>
        <v>94500</v>
      </c>
      <c r="H419" s="46" t="s">
        <v>192</v>
      </c>
      <c r="I419" s="46">
        <v>100788006</v>
      </c>
      <c r="J419" s="46" t="s">
        <v>193</v>
      </c>
      <c r="K419" s="46" t="s">
        <v>194</v>
      </c>
      <c r="L419" s="46" t="s">
        <v>1344</v>
      </c>
      <c r="M419" s="46" t="b">
        <f t="shared" si="13"/>
        <v>0</v>
      </c>
    </row>
    <row r="420" spans="1:13" ht="156" x14ac:dyDescent="0.3">
      <c r="A420" s="46" t="s">
        <v>264</v>
      </c>
      <c r="B420" s="46" t="s">
        <v>264</v>
      </c>
      <c r="C420" s="46" t="s">
        <v>968</v>
      </c>
      <c r="D420" s="46" t="s">
        <v>769</v>
      </c>
      <c r="E420" s="46" t="str">
        <f>IFERROR(VLOOKUP(TRIM(D420), Collection!$B$2:$D$1001, 2, FALSE), "")</f>
        <v>Overseas tourbillon</v>
      </c>
      <c r="F420" s="49" t="str">
        <f>IFERROR(VLOOKUP(TRIM(D420), Collection!$B$2:$D$1001, 3, FALSE), "")</f>
        <v>515,000 AED</v>
      </c>
      <c r="G420" s="49">
        <f t="shared" si="12"/>
        <v>515000</v>
      </c>
      <c r="H420" s="46" t="s">
        <v>192</v>
      </c>
      <c r="I420" s="46">
        <v>100788004</v>
      </c>
      <c r="J420" s="46" t="s">
        <v>193</v>
      </c>
      <c r="K420" s="46" t="s">
        <v>194</v>
      </c>
      <c r="L420" s="46" t="s">
        <v>1345</v>
      </c>
      <c r="M420" s="46" t="b">
        <f t="shared" si="13"/>
        <v>0</v>
      </c>
    </row>
    <row r="421" spans="1:13" ht="140.4" x14ac:dyDescent="0.3">
      <c r="A421" s="46" t="s">
        <v>189</v>
      </c>
      <c r="B421" s="46" t="s">
        <v>1128</v>
      </c>
      <c r="C421" s="46" t="s">
        <v>971</v>
      </c>
      <c r="D421" s="46" t="s">
        <v>120</v>
      </c>
      <c r="E421" s="46" t="str">
        <f>IFERROR(VLOOKUP(TRIM(D421), Collection!$B$2:$D$1001, 2, FALSE), "")</f>
        <v>Overseas self-winding</v>
      </c>
      <c r="F421" s="49" t="str">
        <f>IFERROR(VLOOKUP(TRIM(D421), Collection!$B$2:$D$1001, 3, FALSE), "")</f>
        <v>94,500 AED</v>
      </c>
      <c r="G421" s="49">
        <f t="shared" si="12"/>
        <v>94500</v>
      </c>
      <c r="H421" s="46" t="s">
        <v>192</v>
      </c>
      <c r="I421" s="46">
        <v>100737696</v>
      </c>
      <c r="J421" s="46" t="s">
        <v>193</v>
      </c>
      <c r="K421" s="46" t="s">
        <v>194</v>
      </c>
      <c r="L421" s="46" t="s">
        <v>1346</v>
      </c>
      <c r="M421" s="46" t="b">
        <f t="shared" si="13"/>
        <v>0</v>
      </c>
    </row>
    <row r="422" spans="1:13" ht="46.8" x14ac:dyDescent="0.3">
      <c r="A422" s="46" t="s">
        <v>189</v>
      </c>
      <c r="B422" s="46" t="s">
        <v>1128</v>
      </c>
      <c r="C422" s="46" t="s">
        <v>974</v>
      </c>
      <c r="D422" s="46" t="s">
        <v>120</v>
      </c>
      <c r="E422" s="46" t="str">
        <f>IFERROR(VLOOKUP(TRIM(D422), Collection!$B$2:$D$1001, 2, FALSE), "")</f>
        <v>Overseas self-winding</v>
      </c>
      <c r="F422" s="49" t="str">
        <f>IFERROR(VLOOKUP(TRIM(D422), Collection!$B$2:$D$1001, 3, FALSE), "")</f>
        <v>94,500 AED</v>
      </c>
      <c r="G422" s="49">
        <f t="shared" si="12"/>
        <v>94500</v>
      </c>
      <c r="H422" s="46" t="s">
        <v>192</v>
      </c>
      <c r="I422" s="46">
        <v>100599306</v>
      </c>
      <c r="J422" s="46" t="s">
        <v>193</v>
      </c>
      <c r="K422" s="46" t="s">
        <v>194</v>
      </c>
      <c r="L422" s="46" t="s">
        <v>1347</v>
      </c>
      <c r="M422" s="46" t="b">
        <f t="shared" si="13"/>
        <v>0</v>
      </c>
    </row>
    <row r="423" spans="1:13" ht="78" x14ac:dyDescent="0.3">
      <c r="A423" s="46" t="s">
        <v>189</v>
      </c>
      <c r="B423" s="46" t="s">
        <v>232</v>
      </c>
      <c r="C423" s="46" t="s">
        <v>974</v>
      </c>
      <c r="D423" s="46" t="s">
        <v>977</v>
      </c>
      <c r="E423" s="46" t="str">
        <f>IFERROR(VLOOKUP(TRIM(D423), Collection!$B$2:$D$1001, 2, FALSE), "")</f>
        <v/>
      </c>
      <c r="F423" s="49" t="str">
        <f>IFERROR(VLOOKUP(TRIM(D423), Collection!$B$2:$D$1001, 3, FALSE), "")</f>
        <v/>
      </c>
      <c r="G423" s="49" t="str">
        <f t="shared" si="12"/>
        <v/>
      </c>
      <c r="H423" s="46" t="s">
        <v>192</v>
      </c>
      <c r="I423" s="46">
        <v>100736346</v>
      </c>
      <c r="J423" s="46" t="s">
        <v>193</v>
      </c>
      <c r="K423" s="46" t="s">
        <v>194</v>
      </c>
      <c r="L423" s="46" t="s">
        <v>1348</v>
      </c>
      <c r="M423" s="46" t="b">
        <f t="shared" si="13"/>
        <v>0</v>
      </c>
    </row>
    <row r="424" spans="1:13" ht="62.4" x14ac:dyDescent="0.3">
      <c r="A424" s="46" t="s">
        <v>189</v>
      </c>
      <c r="B424" s="46" t="s">
        <v>232</v>
      </c>
      <c r="C424" s="46" t="s">
        <v>980</v>
      </c>
      <c r="D424" s="46" t="s">
        <v>56</v>
      </c>
      <c r="E424" s="46" t="str">
        <f>IFERROR(VLOOKUP(TRIM(D424), Collection!$B$2:$D$1001, 2, FALSE), "")</f>
        <v>Overseas dual time Blue</v>
      </c>
      <c r="F424" s="49" t="str">
        <f>IFERROR(VLOOKUP(TRIM(D424), Collection!$B$2:$D$1001, 3, FALSE), "")</f>
        <v>117,000 AED</v>
      </c>
      <c r="G424" s="49">
        <f t="shared" si="12"/>
        <v>117000</v>
      </c>
      <c r="H424" s="46" t="s">
        <v>192</v>
      </c>
      <c r="I424" s="46">
        <v>100668746</v>
      </c>
      <c r="J424" s="46" t="s">
        <v>193</v>
      </c>
      <c r="K424" s="46" t="s">
        <v>194</v>
      </c>
      <c r="L424" s="46" t="s">
        <v>1349</v>
      </c>
      <c r="M424" s="46" t="b">
        <f t="shared" si="13"/>
        <v>0</v>
      </c>
    </row>
    <row r="425" spans="1:13" ht="171.6" x14ac:dyDescent="0.3">
      <c r="A425" s="46" t="s">
        <v>189</v>
      </c>
      <c r="B425" s="46" t="s">
        <v>1128</v>
      </c>
      <c r="C425" s="47">
        <v>45572</v>
      </c>
      <c r="D425" s="46" t="s">
        <v>56</v>
      </c>
      <c r="E425" s="46" t="str">
        <f>IFERROR(VLOOKUP(TRIM(D425), Collection!$B$2:$D$1001, 2, FALSE), "")</f>
        <v>Overseas dual time Blue</v>
      </c>
      <c r="F425" s="49" t="str">
        <f>IFERROR(VLOOKUP(TRIM(D425), Collection!$B$2:$D$1001, 3, FALSE), "")</f>
        <v>117,000 AED</v>
      </c>
      <c r="G425" s="49">
        <f t="shared" si="12"/>
        <v>117000</v>
      </c>
      <c r="H425" s="46" t="s">
        <v>192</v>
      </c>
      <c r="I425" s="46">
        <v>100634537</v>
      </c>
      <c r="J425" s="46" t="s">
        <v>193</v>
      </c>
      <c r="K425" s="46" t="s">
        <v>194</v>
      </c>
      <c r="L425" s="46" t="s">
        <v>1350</v>
      </c>
      <c r="M425" s="46" t="b">
        <f t="shared" si="13"/>
        <v>0</v>
      </c>
    </row>
    <row r="426" spans="1:13" ht="31.2" x14ac:dyDescent="0.3">
      <c r="A426" s="46" t="s">
        <v>189</v>
      </c>
      <c r="B426" s="46" t="s">
        <v>1128</v>
      </c>
      <c r="C426" s="47">
        <v>45419</v>
      </c>
      <c r="D426" s="46" t="s">
        <v>120</v>
      </c>
      <c r="E426" s="46" t="str">
        <f>IFERROR(VLOOKUP(TRIM(D426), Collection!$B$2:$D$1001, 2, FALSE), "")</f>
        <v>Overseas self-winding</v>
      </c>
      <c r="F426" s="49" t="str">
        <f>IFERROR(VLOOKUP(TRIM(D426), Collection!$B$2:$D$1001, 3, FALSE), "")</f>
        <v>94,500 AED</v>
      </c>
      <c r="G426" s="49">
        <f t="shared" si="12"/>
        <v>94500</v>
      </c>
      <c r="H426" s="46" t="s">
        <v>192</v>
      </c>
      <c r="I426" s="46">
        <v>100582839</v>
      </c>
      <c r="J426" s="46" t="s">
        <v>193</v>
      </c>
      <c r="K426" s="46" t="s">
        <v>204</v>
      </c>
      <c r="L426" s="46" t="s">
        <v>1128</v>
      </c>
      <c r="M426" s="46" t="b">
        <f t="shared" si="13"/>
        <v>0</v>
      </c>
    </row>
    <row r="427" spans="1:13" ht="31.2" x14ac:dyDescent="0.3">
      <c r="A427" s="46" t="s">
        <v>189</v>
      </c>
      <c r="B427" s="46" t="s">
        <v>1128</v>
      </c>
      <c r="C427" s="47">
        <v>45389</v>
      </c>
      <c r="D427" s="46" t="s">
        <v>120</v>
      </c>
      <c r="E427" s="46" t="str">
        <f>IFERROR(VLOOKUP(TRIM(D427), Collection!$B$2:$D$1001, 2, FALSE), "")</f>
        <v>Overseas self-winding</v>
      </c>
      <c r="F427" s="49" t="str">
        <f>IFERROR(VLOOKUP(TRIM(D427), Collection!$B$2:$D$1001, 3, FALSE), "")</f>
        <v>94,500 AED</v>
      </c>
      <c r="G427" s="49">
        <f t="shared" si="12"/>
        <v>94500</v>
      </c>
      <c r="H427" s="46" t="s">
        <v>192</v>
      </c>
      <c r="I427" s="46">
        <v>100537423</v>
      </c>
      <c r="J427" s="46" t="s">
        <v>193</v>
      </c>
      <c r="K427" s="46" t="s">
        <v>204</v>
      </c>
      <c r="L427" s="46" t="s">
        <v>1351</v>
      </c>
      <c r="M427" s="46" t="b">
        <f t="shared" si="13"/>
        <v>0</v>
      </c>
    </row>
    <row r="428" spans="1:13" ht="46.8" x14ac:dyDescent="0.3">
      <c r="A428" s="46" t="s">
        <v>189</v>
      </c>
      <c r="B428" s="46" t="s">
        <v>1128</v>
      </c>
      <c r="C428" s="46" t="s">
        <v>991</v>
      </c>
      <c r="D428" s="46" t="s">
        <v>120</v>
      </c>
      <c r="E428" s="46" t="str">
        <f>IFERROR(VLOOKUP(TRIM(D428), Collection!$B$2:$D$1001, 2, FALSE), "")</f>
        <v>Overseas self-winding</v>
      </c>
      <c r="F428" s="49" t="str">
        <f>IFERROR(VLOOKUP(TRIM(D428), Collection!$B$2:$D$1001, 3, FALSE), "")</f>
        <v>94,500 AED</v>
      </c>
      <c r="G428" s="49">
        <f t="shared" si="12"/>
        <v>94500</v>
      </c>
      <c r="H428" s="46" t="s">
        <v>192</v>
      </c>
      <c r="I428" s="46">
        <v>100480073</v>
      </c>
      <c r="J428" s="46" t="s">
        <v>193</v>
      </c>
      <c r="K428" s="46" t="s">
        <v>204</v>
      </c>
      <c r="L428" s="46" t="s">
        <v>1352</v>
      </c>
      <c r="M428" s="46" t="b">
        <f t="shared" si="13"/>
        <v>0</v>
      </c>
    </row>
    <row r="429" spans="1:13" ht="31.2" x14ac:dyDescent="0.3">
      <c r="A429" s="46" t="s">
        <v>264</v>
      </c>
      <c r="B429" s="46" t="s">
        <v>264</v>
      </c>
      <c r="C429" s="46" t="s">
        <v>991</v>
      </c>
      <c r="D429" s="46" t="s">
        <v>310</v>
      </c>
      <c r="E429" s="46" t="str">
        <f>IFERROR(VLOOKUP(TRIM(D429), Collection!$B$2:$D$1001, 2, FALSE), "")</f>
        <v>Overseas chronograph</v>
      </c>
      <c r="F429" s="49" t="str">
        <f>IFERROR(VLOOKUP(TRIM(D429), Collection!$B$2:$D$1001, 3, FALSE), "")</f>
        <v>299,000 AED</v>
      </c>
      <c r="G429" s="49">
        <f t="shared" si="12"/>
        <v>299000</v>
      </c>
      <c r="H429" s="46" t="s">
        <v>192</v>
      </c>
      <c r="I429" s="46">
        <v>100482907</v>
      </c>
      <c r="J429" s="46" t="s">
        <v>193</v>
      </c>
      <c r="K429" s="46" t="s">
        <v>204</v>
      </c>
      <c r="L429" s="46" t="s">
        <v>1128</v>
      </c>
      <c r="M429" s="46" t="b">
        <f t="shared" si="13"/>
        <v>0</v>
      </c>
    </row>
    <row r="430" spans="1:13" ht="124.8" x14ac:dyDescent="0.3">
      <c r="A430" s="46" t="s">
        <v>189</v>
      </c>
      <c r="B430" s="46" t="s">
        <v>1128</v>
      </c>
      <c r="C430" s="46" t="s">
        <v>995</v>
      </c>
      <c r="D430" s="46" t="s">
        <v>120</v>
      </c>
      <c r="E430" s="46" t="str">
        <f>IFERROR(VLOOKUP(TRIM(D430), Collection!$B$2:$D$1001, 2, FALSE), "")</f>
        <v>Overseas self-winding</v>
      </c>
      <c r="F430" s="49" t="str">
        <f>IFERROR(VLOOKUP(TRIM(D430), Collection!$B$2:$D$1001, 3, FALSE), "")</f>
        <v>94,500 AED</v>
      </c>
      <c r="G430" s="49">
        <f t="shared" si="12"/>
        <v>94500</v>
      </c>
      <c r="H430" s="46" t="s">
        <v>192</v>
      </c>
      <c r="I430" s="46">
        <v>100432455</v>
      </c>
      <c r="J430" s="46" t="s">
        <v>193</v>
      </c>
      <c r="K430" s="46" t="s">
        <v>204</v>
      </c>
      <c r="L430" s="46" t="s">
        <v>1353</v>
      </c>
      <c r="M430" s="46" t="b">
        <f t="shared" si="13"/>
        <v>0</v>
      </c>
    </row>
    <row r="431" spans="1:13" ht="62.4" x14ac:dyDescent="0.3">
      <c r="A431" s="46" t="s">
        <v>264</v>
      </c>
      <c r="B431" s="46" t="s">
        <v>264</v>
      </c>
      <c r="C431" s="46" t="s">
        <v>997</v>
      </c>
      <c r="D431" s="46" t="s">
        <v>998</v>
      </c>
      <c r="E431" s="46" t="str">
        <f>IFERROR(VLOOKUP(TRIM(D431), Collection!$B$2:$D$1001, 2, FALSE), "")</f>
        <v>Overseas perpetual calendar ultra-thin skeleton</v>
      </c>
      <c r="F431" s="49" t="str">
        <f>IFERROR(VLOOKUP(TRIM(D431), Collection!$B$2:$D$1001, 3, FALSE), "")</f>
        <v>605,000 AED</v>
      </c>
      <c r="G431" s="49">
        <f t="shared" si="12"/>
        <v>605000</v>
      </c>
      <c r="H431" s="46" t="s">
        <v>192</v>
      </c>
      <c r="I431" s="46">
        <v>100394867</v>
      </c>
      <c r="J431" s="46" t="s">
        <v>193</v>
      </c>
      <c r="K431" s="46" t="s">
        <v>204</v>
      </c>
      <c r="L431" s="46" t="s">
        <v>1354</v>
      </c>
      <c r="M431" s="46" t="b">
        <f t="shared" si="13"/>
        <v>0</v>
      </c>
    </row>
    <row r="432" spans="1:13" ht="62.4" x14ac:dyDescent="0.3">
      <c r="A432" s="46" t="s">
        <v>189</v>
      </c>
      <c r="B432" s="46" t="s">
        <v>1128</v>
      </c>
      <c r="C432" s="46" t="s">
        <v>1001</v>
      </c>
      <c r="D432" s="46" t="s">
        <v>120</v>
      </c>
      <c r="E432" s="46" t="str">
        <f>IFERROR(VLOOKUP(TRIM(D432), Collection!$B$2:$D$1001, 2, FALSE), "")</f>
        <v>Overseas self-winding</v>
      </c>
      <c r="F432" s="49" t="str">
        <f>IFERROR(VLOOKUP(TRIM(D432), Collection!$B$2:$D$1001, 3, FALSE), "")</f>
        <v>94,500 AED</v>
      </c>
      <c r="G432" s="49">
        <f t="shared" si="12"/>
        <v>94500</v>
      </c>
      <c r="H432" s="46" t="s">
        <v>192</v>
      </c>
      <c r="I432" s="46">
        <v>100279807</v>
      </c>
      <c r="J432" s="46" t="s">
        <v>193</v>
      </c>
      <c r="K432" s="46" t="s">
        <v>204</v>
      </c>
      <c r="L432" s="46" t="s">
        <v>1355</v>
      </c>
      <c r="M432" s="46" t="b">
        <f t="shared" si="13"/>
        <v>0</v>
      </c>
    </row>
    <row r="433" spans="1:13" ht="78" x14ac:dyDescent="0.3">
      <c r="A433" s="46" t="s">
        <v>189</v>
      </c>
      <c r="B433" s="46" t="s">
        <v>1128</v>
      </c>
      <c r="C433" s="46" t="s">
        <v>1001</v>
      </c>
      <c r="D433" s="46" t="s">
        <v>120</v>
      </c>
      <c r="E433" s="46" t="str">
        <f>IFERROR(VLOOKUP(TRIM(D433), Collection!$B$2:$D$1001, 2, FALSE), "")</f>
        <v>Overseas self-winding</v>
      </c>
      <c r="F433" s="49" t="str">
        <f>IFERROR(VLOOKUP(TRIM(D433), Collection!$B$2:$D$1001, 3, FALSE), "")</f>
        <v>94,500 AED</v>
      </c>
      <c r="G433" s="49">
        <f t="shared" si="12"/>
        <v>94500</v>
      </c>
      <c r="H433" s="46" t="s">
        <v>192</v>
      </c>
      <c r="I433" s="46">
        <v>100355498</v>
      </c>
      <c r="J433" s="46" t="s">
        <v>193</v>
      </c>
      <c r="K433" s="46" t="s">
        <v>204</v>
      </c>
      <c r="L433" s="46" t="s">
        <v>1356</v>
      </c>
      <c r="M433" s="46" t="b">
        <f t="shared" si="13"/>
        <v>0</v>
      </c>
    </row>
    <row r="434" spans="1:13" ht="46.8" x14ac:dyDescent="0.3">
      <c r="A434" s="46" t="s">
        <v>264</v>
      </c>
      <c r="B434" s="46" t="s">
        <v>264</v>
      </c>
      <c r="C434" s="46" t="s">
        <v>1001</v>
      </c>
      <c r="D434" s="46" t="s">
        <v>633</v>
      </c>
      <c r="E434" s="46" t="str">
        <f>IFERROR(VLOOKUP(TRIM(D434), Collection!$B$2:$D$1001, 2, FALSE), "")</f>
        <v>Overseas self-winding</v>
      </c>
      <c r="F434" s="49" t="str">
        <f>IFERROR(VLOOKUP(TRIM(D434), Collection!$B$2:$D$1001, 3, FALSE), "")</f>
        <v>94,500 AED</v>
      </c>
      <c r="G434" s="49">
        <f t="shared" si="12"/>
        <v>94500</v>
      </c>
      <c r="H434" s="46" t="s">
        <v>192</v>
      </c>
      <c r="I434" s="46">
        <v>100341519</v>
      </c>
      <c r="J434" s="46" t="s">
        <v>193</v>
      </c>
      <c r="K434" s="46" t="s">
        <v>204</v>
      </c>
      <c r="L434" s="46" t="s">
        <v>1357</v>
      </c>
      <c r="M434" s="46" t="b">
        <f t="shared" si="13"/>
        <v>0</v>
      </c>
    </row>
    <row r="435" spans="1:13" ht="46.8" x14ac:dyDescent="0.3">
      <c r="A435" s="46" t="s">
        <v>264</v>
      </c>
      <c r="B435" s="46" t="s">
        <v>264</v>
      </c>
      <c r="C435" s="46" t="s">
        <v>1001</v>
      </c>
      <c r="D435" s="46" t="s">
        <v>111</v>
      </c>
      <c r="E435" s="46" t="str">
        <f>IFERROR(VLOOKUP(TRIM(D435), Collection!$B$2:$D$1001, 2, FALSE), "")</f>
        <v>Overseas dual time Silver</v>
      </c>
      <c r="F435" s="49" t="str">
        <f>IFERROR(VLOOKUP(TRIM(D435), Collection!$B$2:$D$1001, 3, FALSE), "")</f>
        <v>117,000 AED</v>
      </c>
      <c r="G435" s="49">
        <f t="shared" si="12"/>
        <v>117000</v>
      </c>
      <c r="H435" s="46" t="s">
        <v>192</v>
      </c>
      <c r="I435" s="46">
        <v>100341519</v>
      </c>
      <c r="J435" s="46" t="s">
        <v>193</v>
      </c>
      <c r="K435" s="46" t="s">
        <v>204</v>
      </c>
      <c r="L435" s="46" t="s">
        <v>1357</v>
      </c>
      <c r="M435" s="46" t="b">
        <f t="shared" si="13"/>
        <v>0</v>
      </c>
    </row>
    <row r="436" spans="1:13" ht="62.4" x14ac:dyDescent="0.3">
      <c r="A436" s="46" t="s">
        <v>189</v>
      </c>
      <c r="B436" s="46" t="s">
        <v>1128</v>
      </c>
      <c r="C436" s="46" t="s">
        <v>1008</v>
      </c>
      <c r="D436" s="46" t="s">
        <v>120</v>
      </c>
      <c r="E436" s="46" t="str">
        <f>IFERROR(VLOOKUP(TRIM(D436), Collection!$B$2:$D$1001, 2, FALSE), "")</f>
        <v>Overseas self-winding</v>
      </c>
      <c r="F436" s="49" t="str">
        <f>IFERROR(VLOOKUP(TRIM(D436), Collection!$B$2:$D$1001, 3, FALSE), "")</f>
        <v>94,500 AED</v>
      </c>
      <c r="G436" s="49">
        <f t="shared" si="12"/>
        <v>94500</v>
      </c>
      <c r="H436" s="46" t="s">
        <v>192</v>
      </c>
      <c r="I436" s="46">
        <v>100339877</v>
      </c>
      <c r="J436" s="46" t="s">
        <v>193</v>
      </c>
      <c r="K436" s="46" t="s">
        <v>204</v>
      </c>
      <c r="L436" s="46" t="s">
        <v>1358</v>
      </c>
      <c r="M436" s="46" t="b">
        <f t="shared" si="13"/>
        <v>0</v>
      </c>
    </row>
    <row r="437" spans="1:13" ht="62.4" x14ac:dyDescent="0.3">
      <c r="A437" s="46" t="s">
        <v>189</v>
      </c>
      <c r="B437" s="46" t="s">
        <v>1128</v>
      </c>
      <c r="C437" s="46" t="s">
        <v>1008</v>
      </c>
      <c r="D437" s="46" t="s">
        <v>120</v>
      </c>
      <c r="E437" s="46" t="str">
        <f>IFERROR(VLOOKUP(TRIM(D437), Collection!$B$2:$D$1001, 2, FALSE), "")</f>
        <v>Overseas self-winding</v>
      </c>
      <c r="F437" s="49" t="str">
        <f>IFERROR(VLOOKUP(TRIM(D437), Collection!$B$2:$D$1001, 3, FALSE), "")</f>
        <v>94,500 AED</v>
      </c>
      <c r="G437" s="49">
        <f t="shared" si="12"/>
        <v>94500</v>
      </c>
      <c r="H437" s="46" t="s">
        <v>192</v>
      </c>
      <c r="I437" s="46">
        <v>100329803</v>
      </c>
      <c r="J437" s="46" t="s">
        <v>193</v>
      </c>
      <c r="K437" s="46" t="s">
        <v>204</v>
      </c>
      <c r="L437" s="46" t="s">
        <v>1359</v>
      </c>
      <c r="M437" s="46" t="b">
        <f t="shared" si="13"/>
        <v>0</v>
      </c>
    </row>
    <row r="438" spans="1:13" ht="78" x14ac:dyDescent="0.3">
      <c r="A438" s="46" t="s">
        <v>189</v>
      </c>
      <c r="B438" s="46" t="s">
        <v>1128</v>
      </c>
      <c r="C438" s="46" t="s">
        <v>1013</v>
      </c>
      <c r="D438" s="46" t="s">
        <v>120</v>
      </c>
      <c r="E438" s="46" t="str">
        <f>IFERROR(VLOOKUP(TRIM(D438), Collection!$B$2:$D$1001, 2, FALSE), "")</f>
        <v>Overseas self-winding</v>
      </c>
      <c r="F438" s="49" t="str">
        <f>IFERROR(VLOOKUP(TRIM(D438), Collection!$B$2:$D$1001, 3, FALSE), "")</f>
        <v>94,500 AED</v>
      </c>
      <c r="G438" s="49">
        <f t="shared" si="12"/>
        <v>94500</v>
      </c>
      <c r="H438" s="46" t="s">
        <v>192</v>
      </c>
      <c r="I438" s="46">
        <v>100330605</v>
      </c>
      <c r="J438" s="46" t="s">
        <v>193</v>
      </c>
      <c r="K438" s="46" t="s">
        <v>204</v>
      </c>
      <c r="L438" s="46" t="s">
        <v>1360</v>
      </c>
      <c r="M438" s="46" t="b">
        <f t="shared" si="13"/>
        <v>0</v>
      </c>
    </row>
    <row r="439" spans="1:13" ht="31.2" x14ac:dyDescent="0.3">
      <c r="A439" s="46" t="s">
        <v>189</v>
      </c>
      <c r="B439" s="46" t="s">
        <v>1128</v>
      </c>
      <c r="C439" s="46" t="s">
        <v>1015</v>
      </c>
      <c r="D439" s="46" t="s">
        <v>120</v>
      </c>
      <c r="E439" s="46" t="str">
        <f>IFERROR(VLOOKUP(TRIM(D439), Collection!$B$2:$D$1001, 2, FALSE), "")</f>
        <v>Overseas self-winding</v>
      </c>
      <c r="F439" s="49" t="str">
        <f>IFERROR(VLOOKUP(TRIM(D439), Collection!$B$2:$D$1001, 3, FALSE), "")</f>
        <v>94,500 AED</v>
      </c>
      <c r="G439" s="49">
        <f t="shared" si="12"/>
        <v>94500</v>
      </c>
      <c r="H439" s="46" t="s">
        <v>192</v>
      </c>
      <c r="I439" s="46">
        <v>100272691</v>
      </c>
      <c r="J439" s="46" t="s">
        <v>193</v>
      </c>
      <c r="K439" s="46" t="s">
        <v>204</v>
      </c>
      <c r="L439" s="46" t="s">
        <v>1128</v>
      </c>
      <c r="M439" s="46" t="b">
        <f t="shared" si="13"/>
        <v>0</v>
      </c>
    </row>
    <row r="440" spans="1:13" ht="62.4" x14ac:dyDescent="0.3">
      <c r="A440" s="46" t="s">
        <v>264</v>
      </c>
      <c r="B440" s="46" t="s">
        <v>264</v>
      </c>
      <c r="C440" s="46" t="s">
        <v>1017</v>
      </c>
      <c r="D440" s="46" t="s">
        <v>80</v>
      </c>
      <c r="E440" s="46" t="str">
        <f>IFERROR(VLOOKUP(TRIM(D440), Collection!$B$2:$D$1001, 2, FALSE), "")</f>
        <v>Historiques 222</v>
      </c>
      <c r="F440" s="49" t="str">
        <f>IFERROR(VLOOKUP(TRIM(D440), Collection!$B$2:$D$1001, 3, FALSE), "")</f>
        <v>279,000 AED</v>
      </c>
      <c r="G440" s="49">
        <f t="shared" si="12"/>
        <v>279000</v>
      </c>
      <c r="H440" s="46" t="s">
        <v>192</v>
      </c>
      <c r="I440" s="46">
        <v>100232514</v>
      </c>
      <c r="J440" s="46" t="s">
        <v>193</v>
      </c>
      <c r="K440" s="46" t="s">
        <v>204</v>
      </c>
      <c r="L440" s="46" t="s">
        <v>1361</v>
      </c>
      <c r="M440" s="46" t="b">
        <f t="shared" si="13"/>
        <v>1</v>
      </c>
    </row>
    <row r="441" spans="1:13" ht="46.8" x14ac:dyDescent="0.3">
      <c r="A441" s="46" t="s">
        <v>264</v>
      </c>
      <c r="B441" s="46" t="s">
        <v>264</v>
      </c>
      <c r="C441" s="46" t="s">
        <v>1020</v>
      </c>
      <c r="D441" s="46" t="s">
        <v>209</v>
      </c>
      <c r="E441" s="46" t="str">
        <f>IFERROR(VLOOKUP(TRIM(D441), Collection!$B$2:$D$1001, 2, FALSE), "")</f>
        <v>Overseas self-winding</v>
      </c>
      <c r="F441" s="49" t="str">
        <f>IFERROR(VLOOKUP(TRIM(D441), Collection!$B$2:$D$1001, 3, FALSE), "")</f>
        <v>94,500 AED</v>
      </c>
      <c r="G441" s="49">
        <f t="shared" si="12"/>
        <v>94500</v>
      </c>
      <c r="H441" s="46" t="s">
        <v>192</v>
      </c>
      <c r="I441" s="46">
        <v>100245350</v>
      </c>
      <c r="J441" s="46" t="s">
        <v>193</v>
      </c>
      <c r="K441" s="46" t="s">
        <v>204</v>
      </c>
      <c r="L441" s="46" t="s">
        <v>1362</v>
      </c>
      <c r="M441" s="46" t="b">
        <f t="shared" si="13"/>
        <v>0</v>
      </c>
    </row>
    <row r="442" spans="1:13" ht="46.8" x14ac:dyDescent="0.3">
      <c r="A442" s="46" t="s">
        <v>189</v>
      </c>
      <c r="B442" s="46" t="s">
        <v>1128</v>
      </c>
      <c r="C442" s="47">
        <v>45510</v>
      </c>
      <c r="D442" s="46" t="s">
        <v>120</v>
      </c>
      <c r="E442" s="46" t="str">
        <f>IFERROR(VLOOKUP(TRIM(D442), Collection!$B$2:$D$1001, 2, FALSE), "")</f>
        <v>Overseas self-winding</v>
      </c>
      <c r="F442" s="49" t="str">
        <f>IFERROR(VLOOKUP(TRIM(D442), Collection!$B$2:$D$1001, 3, FALSE), "")</f>
        <v>94,500 AED</v>
      </c>
      <c r="G442" s="49">
        <f t="shared" si="12"/>
        <v>94500</v>
      </c>
      <c r="H442" s="46" t="s">
        <v>192</v>
      </c>
      <c r="I442" s="46">
        <v>99019997</v>
      </c>
      <c r="J442" s="46" t="s">
        <v>248</v>
      </c>
      <c r="K442" s="46" t="s">
        <v>204</v>
      </c>
      <c r="L442" s="46" t="s">
        <v>1363</v>
      </c>
      <c r="M442" s="46" t="b">
        <f t="shared" si="13"/>
        <v>0</v>
      </c>
    </row>
    <row r="443" spans="1:13" ht="31.2" x14ac:dyDescent="0.3">
      <c r="A443" s="46" t="s">
        <v>264</v>
      </c>
      <c r="B443" s="46" t="s">
        <v>264</v>
      </c>
      <c r="C443" s="47">
        <v>45508</v>
      </c>
      <c r="D443" s="46" t="s">
        <v>80</v>
      </c>
      <c r="E443" s="46" t="str">
        <f>IFERROR(VLOOKUP(TRIM(D443), Collection!$B$2:$D$1001, 2, FALSE), "")</f>
        <v>Historiques 222</v>
      </c>
      <c r="F443" s="49" t="str">
        <f>IFERROR(VLOOKUP(TRIM(D443), Collection!$B$2:$D$1001, 3, FALSE), "")</f>
        <v>279,000 AED</v>
      </c>
      <c r="G443" s="49">
        <f t="shared" si="12"/>
        <v>279000</v>
      </c>
      <c r="H443" s="46" t="s">
        <v>192</v>
      </c>
      <c r="I443" s="46">
        <v>97223180</v>
      </c>
      <c r="J443" s="46" t="s">
        <v>248</v>
      </c>
      <c r="K443" s="46" t="s">
        <v>201</v>
      </c>
      <c r="L443" s="46" t="s">
        <v>1128</v>
      </c>
      <c r="M443" s="46" t="b">
        <f t="shared" si="13"/>
        <v>1</v>
      </c>
    </row>
    <row r="444" spans="1:13" ht="31.2" x14ac:dyDescent="0.3">
      <c r="A444" s="46" t="s">
        <v>264</v>
      </c>
      <c r="B444" s="46" t="s">
        <v>264</v>
      </c>
      <c r="C444" s="46" t="s">
        <v>1028</v>
      </c>
      <c r="D444" s="46" t="s">
        <v>1029</v>
      </c>
      <c r="E444" s="46" t="str">
        <f>IFERROR(VLOOKUP(TRIM(D444), Collection!$B$2:$D$1001, 2, FALSE), "")</f>
        <v>Fiftysix complete calendar</v>
      </c>
      <c r="F444" s="49" t="str">
        <f>IFERROR(VLOOKUP(TRIM(D444), Collection!$B$2:$D$1001, 3, FALSE), "")</f>
        <v>104,000 AED</v>
      </c>
      <c r="G444" s="49">
        <f t="shared" si="12"/>
        <v>104000</v>
      </c>
      <c r="H444" s="46" t="s">
        <v>192</v>
      </c>
      <c r="I444" s="46">
        <v>98828137</v>
      </c>
      <c r="J444" s="46" t="s">
        <v>193</v>
      </c>
      <c r="K444" s="46" t="s">
        <v>204</v>
      </c>
      <c r="L444" s="46" t="s">
        <v>1128</v>
      </c>
      <c r="M444" s="46" t="b">
        <f t="shared" si="13"/>
        <v>0</v>
      </c>
    </row>
    <row r="445" spans="1:13" ht="31.2" x14ac:dyDescent="0.3">
      <c r="A445" s="46" t="s">
        <v>189</v>
      </c>
      <c r="B445" s="46" t="s">
        <v>1128</v>
      </c>
      <c r="C445" s="47">
        <v>45507</v>
      </c>
      <c r="D445" s="46" t="s">
        <v>120</v>
      </c>
      <c r="E445" s="46" t="str">
        <f>IFERROR(VLOOKUP(TRIM(D445), Collection!$B$2:$D$1001, 2, FALSE), "")</f>
        <v>Overseas self-winding</v>
      </c>
      <c r="F445" s="49" t="str">
        <f>IFERROR(VLOOKUP(TRIM(D445), Collection!$B$2:$D$1001, 3, FALSE), "")</f>
        <v>94,500 AED</v>
      </c>
      <c r="G445" s="49">
        <f t="shared" si="12"/>
        <v>94500</v>
      </c>
      <c r="H445" s="46" t="s">
        <v>192</v>
      </c>
      <c r="I445" s="46">
        <v>98340991</v>
      </c>
      <c r="J445" s="46" t="s">
        <v>193</v>
      </c>
      <c r="K445" s="46" t="s">
        <v>204</v>
      </c>
      <c r="L445" s="46" t="s">
        <v>1128</v>
      </c>
      <c r="M445" s="46" t="b">
        <f t="shared" si="13"/>
        <v>0</v>
      </c>
    </row>
    <row r="446" spans="1:13" ht="46.8" x14ac:dyDescent="0.3">
      <c r="A446" s="46" t="s">
        <v>189</v>
      </c>
      <c r="B446" s="46" t="s">
        <v>1128</v>
      </c>
      <c r="C446" s="47">
        <v>45476</v>
      </c>
      <c r="D446" s="46" t="s">
        <v>132</v>
      </c>
      <c r="E446" s="46" t="str">
        <f>IFERROR(VLOOKUP(TRIM(D446), Collection!$B$2:$D$1001, 2, FALSE), "")</f>
        <v>Overseas moon phase retrograde date</v>
      </c>
      <c r="F446" s="49" t="str">
        <f>IFERROR(VLOOKUP(TRIM(D446), Collection!$B$2:$D$1001, 3, FALSE), "")</f>
        <v>166,000 AED</v>
      </c>
      <c r="G446" s="49">
        <f t="shared" si="12"/>
        <v>166000</v>
      </c>
      <c r="H446" s="46" t="s">
        <v>192</v>
      </c>
      <c r="I446" s="46">
        <v>92424528</v>
      </c>
      <c r="J446" s="46" t="s">
        <v>193</v>
      </c>
      <c r="K446" s="46" t="s">
        <v>194</v>
      </c>
      <c r="L446" s="46" t="s">
        <v>1128</v>
      </c>
      <c r="M446" s="46" t="b">
        <f t="shared" si="13"/>
        <v>0</v>
      </c>
    </row>
    <row r="447" spans="1:13" ht="31.2" x14ac:dyDescent="0.3">
      <c r="A447" s="46" t="s">
        <v>189</v>
      </c>
      <c r="B447" s="46" t="s">
        <v>232</v>
      </c>
      <c r="C447" s="47">
        <v>45294</v>
      </c>
      <c r="D447" s="46" t="s">
        <v>120</v>
      </c>
      <c r="E447" s="46" t="str">
        <f>IFERROR(VLOOKUP(TRIM(D447), Collection!$B$2:$D$1001, 2, FALSE), "")</f>
        <v>Overseas self-winding</v>
      </c>
      <c r="F447" s="49" t="str">
        <f>IFERROR(VLOOKUP(TRIM(D447), Collection!$B$2:$D$1001, 3, FALSE), "")</f>
        <v>94,500 AED</v>
      </c>
      <c r="G447" s="49">
        <f t="shared" si="12"/>
        <v>94500</v>
      </c>
      <c r="H447" s="46" t="s">
        <v>192</v>
      </c>
      <c r="I447" s="46">
        <v>92410222</v>
      </c>
      <c r="J447" s="46" t="s">
        <v>193</v>
      </c>
      <c r="K447" s="46" t="s">
        <v>201</v>
      </c>
      <c r="L447" s="46" t="s">
        <v>1128</v>
      </c>
      <c r="M447" s="46" t="b">
        <f t="shared" si="13"/>
        <v>0</v>
      </c>
    </row>
    <row r="448" spans="1:13" ht="31.2" x14ac:dyDescent="0.3">
      <c r="A448" s="46" t="s">
        <v>189</v>
      </c>
      <c r="B448" s="46" t="s">
        <v>1128</v>
      </c>
      <c r="C448" s="46" t="s">
        <v>1036</v>
      </c>
      <c r="D448" s="46" t="s">
        <v>120</v>
      </c>
      <c r="E448" s="46" t="str">
        <f>IFERROR(VLOOKUP(TRIM(D448), Collection!$B$2:$D$1001, 2, FALSE), "")</f>
        <v>Overseas self-winding</v>
      </c>
      <c r="F448" s="49" t="str">
        <f>IFERROR(VLOOKUP(TRIM(D448), Collection!$B$2:$D$1001, 3, FALSE), "")</f>
        <v>94,500 AED</v>
      </c>
      <c r="G448" s="49">
        <f t="shared" si="12"/>
        <v>94500</v>
      </c>
      <c r="H448" s="46" t="s">
        <v>192</v>
      </c>
      <c r="I448" s="46">
        <v>98213478</v>
      </c>
      <c r="J448" s="46" t="s">
        <v>248</v>
      </c>
      <c r="K448" s="46" t="s">
        <v>204</v>
      </c>
      <c r="L448" s="46" t="s">
        <v>1128</v>
      </c>
      <c r="M448" s="46" t="b">
        <f t="shared" si="13"/>
        <v>0</v>
      </c>
    </row>
    <row r="449" spans="1:13" ht="31.2" x14ac:dyDescent="0.3">
      <c r="A449" s="46" t="s">
        <v>189</v>
      </c>
      <c r="B449" s="46" t="s">
        <v>1128</v>
      </c>
      <c r="C449" s="46" t="s">
        <v>1036</v>
      </c>
      <c r="D449" s="46" t="s">
        <v>120</v>
      </c>
      <c r="E449" s="46" t="str">
        <f>IFERROR(VLOOKUP(TRIM(D449), Collection!$B$2:$D$1001, 2, FALSE), "")</f>
        <v>Overseas self-winding</v>
      </c>
      <c r="F449" s="49" t="str">
        <f>IFERROR(VLOOKUP(TRIM(D449), Collection!$B$2:$D$1001, 3, FALSE), "")</f>
        <v>94,500 AED</v>
      </c>
      <c r="G449" s="49">
        <f t="shared" si="12"/>
        <v>94500</v>
      </c>
      <c r="H449" s="46" t="s">
        <v>192</v>
      </c>
      <c r="I449" s="46">
        <v>98213878</v>
      </c>
      <c r="J449" s="46" t="s">
        <v>193</v>
      </c>
      <c r="K449" s="46" t="s">
        <v>194</v>
      </c>
      <c r="L449" s="46" t="s">
        <v>1128</v>
      </c>
      <c r="M449" s="46" t="b">
        <f t="shared" si="13"/>
        <v>0</v>
      </c>
    </row>
    <row r="450" spans="1:13" ht="31.2" x14ac:dyDescent="0.3">
      <c r="A450" s="46" t="s">
        <v>189</v>
      </c>
      <c r="B450" s="46" t="s">
        <v>698</v>
      </c>
      <c r="C450" s="46" t="s">
        <v>1039</v>
      </c>
      <c r="D450" s="46" t="s">
        <v>120</v>
      </c>
      <c r="E450" s="46" t="str">
        <f>IFERROR(VLOOKUP(TRIM(D450), Collection!$B$2:$D$1001, 2, FALSE), "")</f>
        <v>Overseas self-winding</v>
      </c>
      <c r="F450" s="49" t="str">
        <f>IFERROR(VLOOKUP(TRIM(D450), Collection!$B$2:$D$1001, 3, FALSE), "")</f>
        <v>94,500 AED</v>
      </c>
      <c r="G450" s="49">
        <f t="shared" ref="G450:G478" si="14">IFERROR(VALUE(SUBSTITUTE(SUBSTITUTE(F450, "Price", ""), "AED", "")), "")</f>
        <v>94500</v>
      </c>
      <c r="H450" s="46" t="s">
        <v>192</v>
      </c>
      <c r="I450" s="46">
        <v>97560994</v>
      </c>
      <c r="J450" s="46" t="s">
        <v>193</v>
      </c>
      <c r="K450" s="46" t="s">
        <v>201</v>
      </c>
      <c r="L450" s="46" t="s">
        <v>1128</v>
      </c>
      <c r="M450" s="46" t="b">
        <f t="shared" ref="M450:M478" si="15">IF(COUNTIF($R$3:$R$100, D450) &gt; 0, TRUE, FALSE)</f>
        <v>0</v>
      </c>
    </row>
    <row r="451" spans="1:13" ht="31.2" x14ac:dyDescent="0.3">
      <c r="A451" s="46" t="s">
        <v>189</v>
      </c>
      <c r="B451" s="46" t="s">
        <v>698</v>
      </c>
      <c r="C451" s="46" t="s">
        <v>1041</v>
      </c>
      <c r="D451" s="46" t="s">
        <v>56</v>
      </c>
      <c r="E451" s="46" t="str">
        <f>IFERROR(VLOOKUP(TRIM(D451), Collection!$B$2:$D$1001, 2, FALSE), "")</f>
        <v>Overseas dual time Blue</v>
      </c>
      <c r="F451" s="49" t="str">
        <f>IFERROR(VLOOKUP(TRIM(D451), Collection!$B$2:$D$1001, 3, FALSE), "")</f>
        <v>117,000 AED</v>
      </c>
      <c r="G451" s="49">
        <f t="shared" si="14"/>
        <v>117000</v>
      </c>
      <c r="H451" s="46" t="s">
        <v>192</v>
      </c>
      <c r="I451" s="46">
        <v>97560994</v>
      </c>
      <c r="J451" s="46" t="s">
        <v>193</v>
      </c>
      <c r="K451" s="46" t="s">
        <v>201</v>
      </c>
      <c r="L451" s="46" t="s">
        <v>1128</v>
      </c>
      <c r="M451" s="46" t="b">
        <f t="shared" si="15"/>
        <v>0</v>
      </c>
    </row>
    <row r="452" spans="1:13" ht="31.2" x14ac:dyDescent="0.3">
      <c r="A452" s="46" t="s">
        <v>189</v>
      </c>
      <c r="B452" s="46" t="s">
        <v>1128</v>
      </c>
      <c r="C452" s="46" t="s">
        <v>1041</v>
      </c>
      <c r="D452" s="46" t="s">
        <v>120</v>
      </c>
      <c r="E452" s="46" t="str">
        <f>IFERROR(VLOOKUP(TRIM(D452), Collection!$B$2:$D$1001, 2, FALSE), "")</f>
        <v>Overseas self-winding</v>
      </c>
      <c r="F452" s="49" t="str">
        <f>IFERROR(VLOOKUP(TRIM(D452), Collection!$B$2:$D$1001, 3, FALSE), "")</f>
        <v>94,500 AED</v>
      </c>
      <c r="G452" s="49">
        <f t="shared" si="14"/>
        <v>94500</v>
      </c>
      <c r="H452" s="46" t="s">
        <v>192</v>
      </c>
      <c r="I452" s="46">
        <v>97863424</v>
      </c>
      <c r="J452" s="46" t="s">
        <v>193</v>
      </c>
      <c r="K452" s="46" t="s">
        <v>194</v>
      </c>
      <c r="L452" s="46" t="s">
        <v>1128</v>
      </c>
      <c r="M452" s="46" t="b">
        <f t="shared" si="15"/>
        <v>0</v>
      </c>
    </row>
    <row r="453" spans="1:13" ht="31.2" x14ac:dyDescent="0.3">
      <c r="A453" s="46" t="s">
        <v>264</v>
      </c>
      <c r="B453" s="46" t="s">
        <v>264</v>
      </c>
      <c r="C453" s="47">
        <v>45475</v>
      </c>
      <c r="D453" s="46" t="s">
        <v>1044</v>
      </c>
      <c r="E453" s="46" t="str">
        <f>IFERROR(VLOOKUP(TRIM(D453), Collection!$B$2:$D$1001, 2, FALSE), "")</f>
        <v>Historiques Triple calendrier 1942</v>
      </c>
      <c r="F453" s="49" t="str">
        <f>IFERROR(VLOOKUP(TRIM(D453), Collection!$B$2:$D$1001, 3, FALSE), "")</f>
        <v>91,000 AED</v>
      </c>
      <c r="G453" s="49">
        <f t="shared" si="14"/>
        <v>91000</v>
      </c>
      <c r="H453" s="46" t="s">
        <v>192</v>
      </c>
      <c r="I453" s="46">
        <v>97739424</v>
      </c>
      <c r="J453" s="46" t="s">
        <v>193</v>
      </c>
      <c r="K453" s="46" t="s">
        <v>201</v>
      </c>
      <c r="L453" s="46" t="s">
        <v>1128</v>
      </c>
      <c r="M453" s="46" t="b">
        <f t="shared" si="15"/>
        <v>0</v>
      </c>
    </row>
    <row r="454" spans="1:13" ht="31.2" x14ac:dyDescent="0.3">
      <c r="A454" s="46" t="s">
        <v>69</v>
      </c>
      <c r="B454" s="46" t="s">
        <v>229</v>
      </c>
      <c r="C454" s="46" t="s">
        <v>1046</v>
      </c>
      <c r="D454" s="46" t="s">
        <v>14</v>
      </c>
      <c r="E454" s="46" t="str">
        <f>IFERROR(VLOOKUP(TRIM(D454), Collection!$B$2:$D$1001, 2, FALSE), "")</f>
        <v>Overseas quartz</v>
      </c>
      <c r="F454" s="49" t="str">
        <f>IFERROR(VLOOKUP(TRIM(D454), Collection!$B$2:$D$1001, 3, FALSE), "")</f>
        <v>62,500 AED</v>
      </c>
      <c r="G454" s="49">
        <f t="shared" si="14"/>
        <v>62500</v>
      </c>
      <c r="H454" s="46" t="s">
        <v>192</v>
      </c>
      <c r="I454" s="46">
        <v>97341155</v>
      </c>
      <c r="J454" s="46" t="s">
        <v>193</v>
      </c>
      <c r="K454" s="46" t="s">
        <v>204</v>
      </c>
      <c r="L454" s="46" t="s">
        <v>1128</v>
      </c>
      <c r="M454" s="46" t="b">
        <f t="shared" si="15"/>
        <v>0</v>
      </c>
    </row>
    <row r="455" spans="1:13" ht="93.6" x14ac:dyDescent="0.3">
      <c r="A455" s="46" t="s">
        <v>189</v>
      </c>
      <c r="B455" s="46" t="s">
        <v>1128</v>
      </c>
      <c r="C455" s="46" t="s">
        <v>1048</v>
      </c>
      <c r="D455" s="46" t="s">
        <v>1029</v>
      </c>
      <c r="E455" s="46" t="str">
        <f>IFERROR(VLOOKUP(TRIM(D455), Collection!$B$2:$D$1001, 2, FALSE), "")</f>
        <v>Fiftysix complete calendar</v>
      </c>
      <c r="F455" s="49" t="str">
        <f>IFERROR(VLOOKUP(TRIM(D455), Collection!$B$2:$D$1001, 3, FALSE), "")</f>
        <v>104,000 AED</v>
      </c>
      <c r="G455" s="49">
        <f t="shared" si="14"/>
        <v>104000</v>
      </c>
      <c r="H455" s="46" t="s">
        <v>192</v>
      </c>
      <c r="I455" s="46">
        <v>97266884</v>
      </c>
      <c r="J455" s="46" t="s">
        <v>193</v>
      </c>
      <c r="K455" s="46" t="s">
        <v>194</v>
      </c>
      <c r="L455" s="46" t="s">
        <v>1364</v>
      </c>
      <c r="M455" s="46" t="b">
        <f t="shared" si="15"/>
        <v>0</v>
      </c>
    </row>
    <row r="456" spans="1:13" ht="31.2" x14ac:dyDescent="0.3">
      <c r="A456" s="46" t="s">
        <v>264</v>
      </c>
      <c r="B456" s="46" t="s">
        <v>264</v>
      </c>
      <c r="C456" s="46" t="s">
        <v>1048</v>
      </c>
      <c r="D456" s="46" t="s">
        <v>16</v>
      </c>
      <c r="E456" s="46" t="str">
        <f>IFERROR(VLOOKUP(TRIM(D456), Collection!$B$2:$D$1001, 2, FALSE), "")</f>
        <v>Overseas chronograph</v>
      </c>
      <c r="F456" s="49" t="str">
        <f>IFERROR(VLOOKUP(TRIM(D456), Collection!$B$2:$D$1001, 3, FALSE), "")</f>
        <v>135,000 AED</v>
      </c>
      <c r="G456" s="49">
        <f t="shared" si="14"/>
        <v>135000</v>
      </c>
      <c r="H456" s="46" t="s">
        <v>192</v>
      </c>
      <c r="I456" s="46">
        <v>92401070</v>
      </c>
      <c r="J456" s="46" t="s">
        <v>193</v>
      </c>
      <c r="K456" s="46" t="s">
        <v>201</v>
      </c>
      <c r="L456" s="46" t="s">
        <v>1128</v>
      </c>
      <c r="M456" s="46" t="b">
        <f t="shared" si="15"/>
        <v>0</v>
      </c>
    </row>
    <row r="457" spans="1:13" ht="31.2" x14ac:dyDescent="0.3">
      <c r="A457" s="46" t="s">
        <v>264</v>
      </c>
      <c r="B457" s="46" t="s">
        <v>264</v>
      </c>
      <c r="C457" s="47">
        <v>45566</v>
      </c>
      <c r="D457" s="46" t="s">
        <v>1053</v>
      </c>
      <c r="E457" s="46" t="str">
        <f>IFERROR(VLOOKUP(TRIM(D457), Collection!$B$2:$D$1001, 2, FALSE), "")</f>
        <v>Overseas quartz</v>
      </c>
      <c r="F457" s="49" t="str">
        <f>IFERROR(VLOOKUP(TRIM(D457), Collection!$B$2:$D$1001, 3, FALSE), "")</f>
        <v>62,500 AED</v>
      </c>
      <c r="G457" s="49">
        <f t="shared" si="14"/>
        <v>62500</v>
      </c>
      <c r="H457" s="46" t="s">
        <v>192</v>
      </c>
      <c r="I457" s="46">
        <v>96731103</v>
      </c>
      <c r="J457" s="46" t="s">
        <v>193</v>
      </c>
      <c r="K457" s="46" t="s">
        <v>204</v>
      </c>
      <c r="L457" s="46" t="s">
        <v>1128</v>
      </c>
      <c r="M457" s="46" t="b">
        <f t="shared" si="15"/>
        <v>0</v>
      </c>
    </row>
    <row r="458" spans="1:13" ht="31.2" x14ac:dyDescent="0.3">
      <c r="A458" s="46" t="s">
        <v>189</v>
      </c>
      <c r="B458" s="46" t="s">
        <v>1128</v>
      </c>
      <c r="C458" s="47">
        <v>45292</v>
      </c>
      <c r="D458" s="46" t="s">
        <v>306</v>
      </c>
      <c r="E458" s="46" t="str">
        <f>IFERROR(VLOOKUP(TRIM(D458), Collection!$B$2:$D$1001, 2, FALSE), "")</f>
        <v>Fiftysix self-winding</v>
      </c>
      <c r="F458" s="49" t="str">
        <f>IFERROR(VLOOKUP(TRIM(D458), Collection!$B$2:$D$1001, 3, FALSE), "")</f>
        <v>48,000 AED</v>
      </c>
      <c r="G458" s="49">
        <f t="shared" si="14"/>
        <v>48000</v>
      </c>
      <c r="H458" s="46" t="s">
        <v>192</v>
      </c>
      <c r="I458" s="46">
        <v>94291400</v>
      </c>
      <c r="J458" s="46" t="s">
        <v>193</v>
      </c>
      <c r="K458" s="46" t="s">
        <v>194</v>
      </c>
      <c r="L458" s="46" t="s">
        <v>1128</v>
      </c>
      <c r="M458" s="46" t="b">
        <f t="shared" si="15"/>
        <v>0</v>
      </c>
    </row>
    <row r="459" spans="1:13" ht="31.2" x14ac:dyDescent="0.3">
      <c r="A459" s="46" t="s">
        <v>264</v>
      </c>
      <c r="B459" s="46" t="s">
        <v>264</v>
      </c>
      <c r="C459" s="46" t="s">
        <v>1057</v>
      </c>
      <c r="D459" s="46" t="s">
        <v>1053</v>
      </c>
      <c r="E459" s="46" t="str">
        <f>IFERROR(VLOOKUP(TRIM(D459), Collection!$B$2:$D$1001, 2, FALSE), "")</f>
        <v>Overseas quartz</v>
      </c>
      <c r="F459" s="49" t="str">
        <f>IFERROR(VLOOKUP(TRIM(D459), Collection!$B$2:$D$1001, 3, FALSE), "")</f>
        <v>62,500 AED</v>
      </c>
      <c r="G459" s="49">
        <f t="shared" si="14"/>
        <v>62500</v>
      </c>
      <c r="H459" s="46" t="s">
        <v>192</v>
      </c>
      <c r="I459" s="46">
        <v>94195497</v>
      </c>
      <c r="J459" s="46" t="s">
        <v>193</v>
      </c>
      <c r="K459" s="46" t="s">
        <v>201</v>
      </c>
      <c r="L459" s="46" t="s">
        <v>1128</v>
      </c>
      <c r="M459" s="46" t="b">
        <f t="shared" si="15"/>
        <v>0</v>
      </c>
    </row>
    <row r="460" spans="1:13" ht="31.2" x14ac:dyDescent="0.3">
      <c r="A460" s="46" t="s">
        <v>264</v>
      </c>
      <c r="B460" s="46" t="s">
        <v>264</v>
      </c>
      <c r="C460" s="46" t="s">
        <v>1059</v>
      </c>
      <c r="D460" s="46" t="s">
        <v>306</v>
      </c>
      <c r="E460" s="46" t="str">
        <f>IFERROR(VLOOKUP(TRIM(D460), Collection!$B$2:$D$1001, 2, FALSE), "")</f>
        <v>Fiftysix self-winding</v>
      </c>
      <c r="F460" s="49" t="str">
        <f>IFERROR(VLOOKUP(TRIM(D460), Collection!$B$2:$D$1001, 3, FALSE), "")</f>
        <v>48,000 AED</v>
      </c>
      <c r="G460" s="49">
        <f t="shared" si="14"/>
        <v>48000</v>
      </c>
      <c r="H460" s="46" t="s">
        <v>192</v>
      </c>
      <c r="I460" s="46">
        <v>94028251</v>
      </c>
      <c r="J460" s="46" t="s">
        <v>193</v>
      </c>
      <c r="K460" s="46" t="s">
        <v>204</v>
      </c>
      <c r="L460" s="46" t="s">
        <v>1128</v>
      </c>
      <c r="M460" s="46" t="b">
        <f t="shared" si="15"/>
        <v>0</v>
      </c>
    </row>
    <row r="461" spans="1:13" ht="31.2" x14ac:dyDescent="0.3">
      <c r="A461" s="46" t="s">
        <v>189</v>
      </c>
      <c r="B461" s="46" t="s">
        <v>1128</v>
      </c>
      <c r="C461" s="46" t="s">
        <v>1061</v>
      </c>
      <c r="D461" s="46" t="s">
        <v>56</v>
      </c>
      <c r="E461" s="46" t="str">
        <f>IFERROR(VLOOKUP(TRIM(D461), Collection!$B$2:$D$1001, 2, FALSE), "")</f>
        <v>Overseas dual time Blue</v>
      </c>
      <c r="F461" s="49" t="str">
        <f>IFERROR(VLOOKUP(TRIM(D461), Collection!$B$2:$D$1001, 3, FALSE), "")</f>
        <v>117,000 AED</v>
      </c>
      <c r="G461" s="49">
        <f t="shared" si="14"/>
        <v>117000</v>
      </c>
      <c r="H461" s="46" t="s">
        <v>192</v>
      </c>
      <c r="I461" s="46">
        <v>92398068</v>
      </c>
      <c r="J461" s="46" t="s">
        <v>193</v>
      </c>
      <c r="K461" s="46" t="s">
        <v>194</v>
      </c>
      <c r="L461" s="46" t="s">
        <v>1128</v>
      </c>
      <c r="M461" s="46" t="b">
        <f t="shared" si="15"/>
        <v>0</v>
      </c>
    </row>
    <row r="462" spans="1:13" ht="31.2" x14ac:dyDescent="0.3">
      <c r="A462" s="46" t="s">
        <v>189</v>
      </c>
      <c r="B462" s="46" t="s">
        <v>1128</v>
      </c>
      <c r="C462" s="47">
        <v>45181</v>
      </c>
      <c r="D462" s="46" t="s">
        <v>56</v>
      </c>
      <c r="E462" s="46" t="str">
        <f>IFERROR(VLOOKUP(TRIM(D462), Collection!$B$2:$D$1001, 2, FALSE), "")</f>
        <v>Overseas dual time Blue</v>
      </c>
      <c r="F462" s="49" t="str">
        <f>IFERROR(VLOOKUP(TRIM(D462), Collection!$B$2:$D$1001, 3, FALSE), "")</f>
        <v>117,000 AED</v>
      </c>
      <c r="G462" s="49">
        <f t="shared" si="14"/>
        <v>117000</v>
      </c>
      <c r="H462" s="46" t="s">
        <v>192</v>
      </c>
      <c r="I462" s="46">
        <v>92402171</v>
      </c>
      <c r="J462" s="46" t="s">
        <v>248</v>
      </c>
      <c r="K462" s="46" t="s">
        <v>201</v>
      </c>
      <c r="L462" s="46" t="s">
        <v>1128</v>
      </c>
      <c r="M462" s="46" t="b">
        <f t="shared" si="15"/>
        <v>0</v>
      </c>
    </row>
    <row r="463" spans="1:13" ht="31.2" x14ac:dyDescent="0.3">
      <c r="A463" s="46" t="s">
        <v>264</v>
      </c>
      <c r="B463" s="46" t="s">
        <v>264</v>
      </c>
      <c r="C463" s="46" t="s">
        <v>1065</v>
      </c>
      <c r="D463" s="46" t="s">
        <v>56</v>
      </c>
      <c r="E463" s="46" t="str">
        <f>IFERROR(VLOOKUP(TRIM(D463), Collection!$B$2:$D$1001, 2, FALSE), "")</f>
        <v>Overseas dual time Blue</v>
      </c>
      <c r="F463" s="49" t="str">
        <f>IFERROR(VLOOKUP(TRIM(D463), Collection!$B$2:$D$1001, 3, FALSE), "")</f>
        <v>117,000 AED</v>
      </c>
      <c r="G463" s="49">
        <f t="shared" si="14"/>
        <v>117000</v>
      </c>
      <c r="H463" s="46" t="s">
        <v>192</v>
      </c>
      <c r="I463" s="46">
        <v>79989586</v>
      </c>
      <c r="J463" s="46" t="s">
        <v>193</v>
      </c>
      <c r="K463" s="46" t="s">
        <v>204</v>
      </c>
      <c r="L463" s="46" t="s">
        <v>1128</v>
      </c>
      <c r="M463" s="46" t="b">
        <f t="shared" si="15"/>
        <v>0</v>
      </c>
    </row>
    <row r="464" spans="1:13" ht="31.2" x14ac:dyDescent="0.3">
      <c r="A464" s="46" t="s">
        <v>189</v>
      </c>
      <c r="B464" s="46" t="s">
        <v>1128</v>
      </c>
      <c r="C464" s="46" t="s">
        <v>1067</v>
      </c>
      <c r="D464" s="46" t="s">
        <v>120</v>
      </c>
      <c r="E464" s="46" t="str">
        <f>IFERROR(VLOOKUP(TRIM(D464), Collection!$B$2:$D$1001, 2, FALSE), "")</f>
        <v>Overseas self-winding</v>
      </c>
      <c r="F464" s="49" t="str">
        <f>IFERROR(VLOOKUP(TRIM(D464), Collection!$B$2:$D$1001, 3, FALSE), "")</f>
        <v>94,500 AED</v>
      </c>
      <c r="G464" s="49">
        <f t="shared" si="14"/>
        <v>94500</v>
      </c>
      <c r="H464" s="46" t="s">
        <v>192</v>
      </c>
      <c r="I464" s="46">
        <v>93573185</v>
      </c>
      <c r="J464" s="46" t="s">
        <v>193</v>
      </c>
      <c r="K464" s="46" t="s">
        <v>194</v>
      </c>
      <c r="L464" s="46" t="s">
        <v>1128</v>
      </c>
      <c r="M464" s="46" t="b">
        <f t="shared" si="15"/>
        <v>0</v>
      </c>
    </row>
    <row r="465" spans="1:13" ht="31.2" x14ac:dyDescent="0.3">
      <c r="A465" s="46" t="s">
        <v>69</v>
      </c>
      <c r="B465" s="46" t="s">
        <v>229</v>
      </c>
      <c r="C465" s="46" t="s">
        <v>1067</v>
      </c>
      <c r="D465" s="46" t="s">
        <v>120</v>
      </c>
      <c r="E465" s="46" t="str">
        <f>IFERROR(VLOOKUP(TRIM(D465), Collection!$B$2:$D$1001, 2, FALSE), "")</f>
        <v>Overseas self-winding</v>
      </c>
      <c r="F465" s="49" t="str">
        <f>IFERROR(VLOOKUP(TRIM(D465), Collection!$B$2:$D$1001, 3, FALSE), "")</f>
        <v>94,500 AED</v>
      </c>
      <c r="G465" s="49">
        <f t="shared" si="14"/>
        <v>94500</v>
      </c>
      <c r="H465" s="46" t="s">
        <v>192</v>
      </c>
      <c r="I465" s="46">
        <v>93573388</v>
      </c>
      <c r="J465" s="46" t="s">
        <v>193</v>
      </c>
      <c r="K465" s="46" t="s">
        <v>1070</v>
      </c>
      <c r="L465" s="46" t="s">
        <v>1128</v>
      </c>
      <c r="M465" s="46" t="b">
        <f t="shared" si="15"/>
        <v>0</v>
      </c>
    </row>
    <row r="466" spans="1:13" ht="31.2" x14ac:dyDescent="0.3">
      <c r="A466" s="46" t="s">
        <v>264</v>
      </c>
      <c r="B466" s="46" t="s">
        <v>264</v>
      </c>
      <c r="C466" s="46" t="s">
        <v>1071</v>
      </c>
      <c r="D466" s="46" t="s">
        <v>1072</v>
      </c>
      <c r="E466" s="46" t="str">
        <f>IFERROR(VLOOKUP(TRIM(D466), Collection!$B$2:$D$1001, 2, FALSE), "")</f>
        <v>Overseas self-winding</v>
      </c>
      <c r="F466" s="49" t="str">
        <f>IFERROR(VLOOKUP(TRIM(D466), Collection!$B$2:$D$1001, 3, FALSE), "")</f>
        <v>153,000 AED</v>
      </c>
      <c r="G466" s="49">
        <f t="shared" si="14"/>
        <v>153000</v>
      </c>
      <c r="H466" s="46" t="s">
        <v>192</v>
      </c>
      <c r="I466" s="46">
        <v>93306019</v>
      </c>
      <c r="J466" s="46" t="s">
        <v>193</v>
      </c>
      <c r="K466" s="46" t="s">
        <v>204</v>
      </c>
      <c r="L466" s="46" t="s">
        <v>1128</v>
      </c>
      <c r="M466" s="46" t="b">
        <f t="shared" si="15"/>
        <v>0</v>
      </c>
    </row>
    <row r="467" spans="1:13" ht="31.2" x14ac:dyDescent="0.3">
      <c r="A467" s="46" t="s">
        <v>189</v>
      </c>
      <c r="B467" s="46" t="s">
        <v>1128</v>
      </c>
      <c r="C467" s="46" t="s">
        <v>1071</v>
      </c>
      <c r="D467" s="46" t="s">
        <v>120</v>
      </c>
      <c r="E467" s="46" t="str">
        <f>IFERROR(VLOOKUP(TRIM(D467), Collection!$B$2:$D$1001, 2, FALSE), "")</f>
        <v>Overseas self-winding</v>
      </c>
      <c r="F467" s="49" t="str">
        <f>IFERROR(VLOOKUP(TRIM(D467), Collection!$B$2:$D$1001, 3, FALSE), "")</f>
        <v>94,500 AED</v>
      </c>
      <c r="G467" s="49">
        <f t="shared" si="14"/>
        <v>94500</v>
      </c>
      <c r="H467" s="46" t="s">
        <v>192</v>
      </c>
      <c r="I467" s="46">
        <v>92407789</v>
      </c>
      <c r="J467" s="46" t="s">
        <v>193</v>
      </c>
      <c r="K467" s="46" t="s">
        <v>194</v>
      </c>
      <c r="L467" s="46" t="s">
        <v>1128</v>
      </c>
      <c r="M467" s="46" t="b">
        <f t="shared" si="15"/>
        <v>0</v>
      </c>
    </row>
    <row r="468" spans="1:13" ht="31.2" x14ac:dyDescent="0.3">
      <c r="A468" s="46" t="s">
        <v>189</v>
      </c>
      <c r="B468" s="46" t="s">
        <v>229</v>
      </c>
      <c r="C468" s="47">
        <v>45118</v>
      </c>
      <c r="D468" s="46" t="s">
        <v>120</v>
      </c>
      <c r="E468" s="46" t="str">
        <f>IFERROR(VLOOKUP(TRIM(D468), Collection!$B$2:$D$1001, 2, FALSE), "")</f>
        <v>Overseas self-winding</v>
      </c>
      <c r="F468" s="49" t="str">
        <f>IFERROR(VLOOKUP(TRIM(D468), Collection!$B$2:$D$1001, 3, FALSE), "")</f>
        <v>94,500 AED</v>
      </c>
      <c r="G468" s="49">
        <f t="shared" si="14"/>
        <v>94500</v>
      </c>
      <c r="H468" s="46" t="s">
        <v>192</v>
      </c>
      <c r="I468" s="46">
        <v>93307928</v>
      </c>
      <c r="J468" s="46" t="s">
        <v>193</v>
      </c>
      <c r="K468" s="46" t="s">
        <v>201</v>
      </c>
      <c r="L468" s="46" t="s">
        <v>1128</v>
      </c>
      <c r="M468" s="46" t="b">
        <f t="shared" si="15"/>
        <v>0</v>
      </c>
    </row>
    <row r="469" spans="1:13" ht="78" x14ac:dyDescent="0.3">
      <c r="A469" s="46" t="s">
        <v>189</v>
      </c>
      <c r="B469" s="46" t="s">
        <v>1128</v>
      </c>
      <c r="C469" s="47">
        <v>44996</v>
      </c>
      <c r="D469" s="46" t="s">
        <v>120</v>
      </c>
      <c r="E469" s="46" t="str">
        <f>IFERROR(VLOOKUP(TRIM(D469), Collection!$B$2:$D$1001, 2, FALSE), "")</f>
        <v>Overseas self-winding</v>
      </c>
      <c r="F469" s="49" t="str">
        <f>IFERROR(VLOOKUP(TRIM(D469), Collection!$B$2:$D$1001, 3, FALSE), "")</f>
        <v>94,500 AED</v>
      </c>
      <c r="G469" s="49">
        <f t="shared" si="14"/>
        <v>94500</v>
      </c>
      <c r="H469" s="46" t="s">
        <v>192</v>
      </c>
      <c r="I469" s="46">
        <v>93266623</v>
      </c>
      <c r="J469" s="46" t="s">
        <v>193</v>
      </c>
      <c r="K469" s="46" t="s">
        <v>204</v>
      </c>
      <c r="L469" s="46" t="s">
        <v>1365</v>
      </c>
      <c r="M469" s="46" t="b">
        <f t="shared" si="15"/>
        <v>0</v>
      </c>
    </row>
    <row r="470" spans="1:13" ht="31.2" x14ac:dyDescent="0.3">
      <c r="A470" s="46" t="s">
        <v>264</v>
      </c>
      <c r="B470" s="46" t="s">
        <v>264</v>
      </c>
      <c r="C470" s="47">
        <v>44937</v>
      </c>
      <c r="D470" s="46" t="s">
        <v>769</v>
      </c>
      <c r="E470" s="46" t="str">
        <f>IFERROR(VLOOKUP(TRIM(D470), Collection!$B$2:$D$1001, 2, FALSE), "")</f>
        <v>Overseas tourbillon</v>
      </c>
      <c r="F470" s="49" t="str">
        <f>IFERROR(VLOOKUP(TRIM(D470), Collection!$B$2:$D$1001, 3, FALSE), "")</f>
        <v>515,000 AED</v>
      </c>
      <c r="G470" s="49">
        <f t="shared" si="14"/>
        <v>515000</v>
      </c>
      <c r="H470" s="46" t="s">
        <v>192</v>
      </c>
      <c r="I470" s="46">
        <v>93234862</v>
      </c>
      <c r="J470" s="46" t="s">
        <v>193</v>
      </c>
      <c r="K470" s="46" t="s">
        <v>204</v>
      </c>
      <c r="L470" s="46" t="s">
        <v>1128</v>
      </c>
      <c r="M470" s="46" t="b">
        <f t="shared" si="15"/>
        <v>0</v>
      </c>
    </row>
    <row r="471" spans="1:13" ht="31.2" x14ac:dyDescent="0.3">
      <c r="A471" s="46" t="s">
        <v>189</v>
      </c>
      <c r="B471" s="46" t="s">
        <v>1128</v>
      </c>
      <c r="C471" s="46" t="s">
        <v>1082</v>
      </c>
      <c r="D471" s="46" t="s">
        <v>633</v>
      </c>
      <c r="E471" s="46" t="str">
        <f>IFERROR(VLOOKUP(TRIM(D471), Collection!$B$2:$D$1001, 2, FALSE), "")</f>
        <v>Overseas self-winding</v>
      </c>
      <c r="F471" s="49" t="str">
        <f>IFERROR(VLOOKUP(TRIM(D471), Collection!$B$2:$D$1001, 3, FALSE), "")</f>
        <v>94,500 AED</v>
      </c>
      <c r="G471" s="49">
        <f t="shared" si="14"/>
        <v>94500</v>
      </c>
      <c r="H471" s="46" t="s">
        <v>192</v>
      </c>
      <c r="I471" s="46">
        <v>1301022</v>
      </c>
      <c r="J471" s="46" t="s">
        <v>193</v>
      </c>
      <c r="K471" s="46" t="s">
        <v>194</v>
      </c>
      <c r="L471" s="46" t="s">
        <v>1128</v>
      </c>
      <c r="M471" s="46" t="b">
        <f t="shared" si="15"/>
        <v>0</v>
      </c>
    </row>
    <row r="472" spans="1:13" ht="78" x14ac:dyDescent="0.3">
      <c r="A472" s="46" t="s">
        <v>189</v>
      </c>
      <c r="B472" s="46" t="s">
        <v>1128</v>
      </c>
      <c r="C472" s="46" t="s">
        <v>1084</v>
      </c>
      <c r="D472" s="46" t="s">
        <v>120</v>
      </c>
      <c r="E472" s="46" t="str">
        <f>IFERROR(VLOOKUP(TRIM(D472), Collection!$B$2:$D$1001, 2, FALSE), "")</f>
        <v>Overseas self-winding</v>
      </c>
      <c r="F472" s="49" t="str">
        <f>IFERROR(VLOOKUP(TRIM(D472), Collection!$B$2:$D$1001, 3, FALSE), "")</f>
        <v>94,500 AED</v>
      </c>
      <c r="G472" s="49">
        <f t="shared" si="14"/>
        <v>94500</v>
      </c>
      <c r="H472" s="46" t="s">
        <v>192</v>
      </c>
      <c r="I472" s="46">
        <v>1297716</v>
      </c>
      <c r="J472" s="46" t="s">
        <v>193</v>
      </c>
      <c r="K472" s="46" t="s">
        <v>201</v>
      </c>
      <c r="L472" s="46" t="s">
        <v>1366</v>
      </c>
      <c r="M472" s="46" t="b">
        <f t="shared" si="15"/>
        <v>0</v>
      </c>
    </row>
    <row r="473" spans="1:13" ht="46.8" x14ac:dyDescent="0.3">
      <c r="A473" s="46" t="s">
        <v>264</v>
      </c>
      <c r="B473" s="46" t="s">
        <v>264</v>
      </c>
      <c r="C473" s="46" t="s">
        <v>1087</v>
      </c>
      <c r="D473" s="46" t="s">
        <v>132</v>
      </c>
      <c r="E473" s="46" t="str">
        <f>IFERROR(VLOOKUP(TRIM(D473), Collection!$B$2:$D$1001, 2, FALSE), "")</f>
        <v>Overseas moon phase retrograde date</v>
      </c>
      <c r="F473" s="49" t="str">
        <f>IFERROR(VLOOKUP(TRIM(D473), Collection!$B$2:$D$1001, 3, FALSE), "")</f>
        <v>166,000 AED</v>
      </c>
      <c r="G473" s="49">
        <f t="shared" si="14"/>
        <v>166000</v>
      </c>
      <c r="H473" s="46" t="s">
        <v>192</v>
      </c>
      <c r="I473" s="46">
        <v>1297177</v>
      </c>
      <c r="J473" s="46" t="s">
        <v>193</v>
      </c>
      <c r="K473" s="46" t="s">
        <v>204</v>
      </c>
      <c r="L473" s="46" t="s">
        <v>1128</v>
      </c>
      <c r="M473" s="46" t="b">
        <f t="shared" si="15"/>
        <v>0</v>
      </c>
    </row>
    <row r="474" spans="1:13" ht="31.2" x14ac:dyDescent="0.3">
      <c r="A474" s="46" t="s">
        <v>69</v>
      </c>
      <c r="B474" s="46" t="s">
        <v>1128</v>
      </c>
      <c r="C474" s="46" t="s">
        <v>1089</v>
      </c>
      <c r="D474" s="46" t="s">
        <v>80</v>
      </c>
      <c r="E474" s="46" t="str">
        <f>IFERROR(VLOOKUP(TRIM(D474), Collection!$B$2:$D$1001, 2, FALSE), "")</f>
        <v>Historiques 222</v>
      </c>
      <c r="F474" s="49" t="str">
        <f>IFERROR(VLOOKUP(TRIM(D474), Collection!$B$2:$D$1001, 3, FALSE), "")</f>
        <v>279,000 AED</v>
      </c>
      <c r="G474" s="49">
        <f t="shared" si="14"/>
        <v>279000</v>
      </c>
      <c r="H474" s="46" t="s">
        <v>192</v>
      </c>
      <c r="I474" s="46">
        <v>1291072</v>
      </c>
      <c r="J474" s="46" t="s">
        <v>193</v>
      </c>
      <c r="K474" s="46" t="s">
        <v>194</v>
      </c>
      <c r="L474" s="46" t="s">
        <v>1128</v>
      </c>
      <c r="M474" s="46" t="b">
        <f t="shared" si="15"/>
        <v>1</v>
      </c>
    </row>
    <row r="475" spans="1:13" ht="31.2" x14ac:dyDescent="0.3">
      <c r="A475" s="46" t="s">
        <v>189</v>
      </c>
      <c r="B475" s="46" t="s">
        <v>1128</v>
      </c>
      <c r="C475" s="46" t="s">
        <v>1091</v>
      </c>
      <c r="D475" s="46" t="s">
        <v>120</v>
      </c>
      <c r="E475" s="46" t="str">
        <f>IFERROR(VLOOKUP(TRIM(D475), Collection!$B$2:$D$1001, 2, FALSE), "")</f>
        <v>Overseas self-winding</v>
      </c>
      <c r="F475" s="49" t="str">
        <f>IFERROR(VLOOKUP(TRIM(D475), Collection!$B$2:$D$1001, 3, FALSE), "")</f>
        <v>94,500 AED</v>
      </c>
      <c r="G475" s="49">
        <f t="shared" si="14"/>
        <v>94500</v>
      </c>
      <c r="H475" s="46" t="s">
        <v>192</v>
      </c>
      <c r="I475" s="46">
        <v>1291327</v>
      </c>
      <c r="J475" s="46" t="s">
        <v>193</v>
      </c>
      <c r="K475" s="46" t="s">
        <v>201</v>
      </c>
      <c r="L475" s="46" t="s">
        <v>1128</v>
      </c>
      <c r="M475" s="46" t="b">
        <f t="shared" si="15"/>
        <v>0</v>
      </c>
    </row>
    <row r="476" spans="1:13" ht="31.2" x14ac:dyDescent="0.3">
      <c r="A476" s="46" t="s">
        <v>264</v>
      </c>
      <c r="B476" s="46" t="s">
        <v>264</v>
      </c>
      <c r="C476" s="47">
        <v>45240</v>
      </c>
      <c r="D476" s="46" t="s">
        <v>633</v>
      </c>
      <c r="E476" s="46" t="str">
        <f>IFERROR(VLOOKUP(TRIM(D476), Collection!$B$2:$D$1001, 2, FALSE), "")</f>
        <v>Overseas self-winding</v>
      </c>
      <c r="F476" s="49" t="str">
        <f>IFERROR(VLOOKUP(TRIM(D476), Collection!$B$2:$D$1001, 3, FALSE), "")</f>
        <v>94,500 AED</v>
      </c>
      <c r="G476" s="49">
        <f t="shared" si="14"/>
        <v>94500</v>
      </c>
      <c r="H476" s="46" t="s">
        <v>192</v>
      </c>
      <c r="I476" s="46">
        <v>1289465</v>
      </c>
      <c r="J476" s="46" t="s">
        <v>193</v>
      </c>
      <c r="K476" s="46" t="s">
        <v>204</v>
      </c>
      <c r="L476" s="46" t="s">
        <v>1128</v>
      </c>
      <c r="M476" s="46" t="b">
        <f t="shared" si="15"/>
        <v>0</v>
      </c>
    </row>
    <row r="477" spans="1:13" ht="31.2" x14ac:dyDescent="0.3">
      <c r="A477" s="46" t="s">
        <v>189</v>
      </c>
      <c r="B477" s="46" t="s">
        <v>1128</v>
      </c>
      <c r="C477" s="47">
        <v>45179</v>
      </c>
      <c r="D477" s="46" t="s">
        <v>120</v>
      </c>
      <c r="E477" s="46" t="str">
        <f>IFERROR(VLOOKUP(TRIM(D477), Collection!$B$2:$D$1001, 2, FALSE), "")</f>
        <v>Overseas self-winding</v>
      </c>
      <c r="F477" s="49" t="str">
        <f>IFERROR(VLOOKUP(TRIM(D477), Collection!$B$2:$D$1001, 3, FALSE), "")</f>
        <v>94,500 AED</v>
      </c>
      <c r="G477" s="49">
        <f t="shared" si="14"/>
        <v>94500</v>
      </c>
      <c r="H477" s="46" t="s">
        <v>192</v>
      </c>
      <c r="I477" s="46">
        <v>1288389</v>
      </c>
      <c r="J477" s="46" t="s">
        <v>193</v>
      </c>
      <c r="K477" s="46" t="s">
        <v>204</v>
      </c>
      <c r="L477" s="46" t="s">
        <v>1128</v>
      </c>
      <c r="M477" s="46" t="b">
        <f t="shared" si="15"/>
        <v>0</v>
      </c>
    </row>
    <row r="478" spans="1:13" ht="31.2" x14ac:dyDescent="0.3">
      <c r="A478" s="46" t="s">
        <v>189</v>
      </c>
      <c r="B478" s="46" t="s">
        <v>1128</v>
      </c>
      <c r="C478" s="47">
        <v>45148</v>
      </c>
      <c r="D478" s="46" t="s">
        <v>120</v>
      </c>
      <c r="E478" s="46" t="str">
        <f>IFERROR(VLOOKUP(TRIM(D478), Collection!$B$2:$D$1001, 2, FALSE), "")</f>
        <v>Overseas self-winding</v>
      </c>
      <c r="F478" s="49" t="str">
        <f>IFERROR(VLOOKUP(TRIM(D478), Collection!$B$2:$D$1001, 3, FALSE), "")</f>
        <v>94,500 AED</v>
      </c>
      <c r="G478" s="49">
        <f t="shared" si="14"/>
        <v>94500</v>
      </c>
      <c r="H478" s="46" t="s">
        <v>192</v>
      </c>
      <c r="I478" s="46">
        <v>1150674</v>
      </c>
      <c r="J478" s="46" t="s">
        <v>248</v>
      </c>
      <c r="K478" s="46" t="s">
        <v>194</v>
      </c>
      <c r="L478" s="46" t="s">
        <v>1128</v>
      </c>
      <c r="M478" s="46" t="b">
        <f t="shared" si="15"/>
        <v>0</v>
      </c>
    </row>
    <row r="479" spans="1:13" x14ac:dyDescent="0.3">
      <c r="F479" s="42"/>
      <c r="G479" s="42"/>
    </row>
  </sheetData>
  <sheetProtection algorithmName="SHA-512" hashValue="/O6Tvs6a0s1rFkdSHjiBzGGV7aY+YOWAy4oAlu56+ZJPcxdSACu1sduQ51rofU4K5EagsR1pq+q/LvIpL7EvJA==" saltValue="oh+xVefi/O6p0IRbkgEf8Q==" spinCount="100000" sheet="1" objects="1" scenarios="1"/>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EF871-F0D5-4160-9BF7-59B6D50AB0C8}">
  <sheetPr codeName="Sheet5"/>
  <dimension ref="A1:L333"/>
  <sheetViews>
    <sheetView topLeftCell="A40" zoomScaleNormal="100" workbookViewId="0">
      <selection activeCell="B59" sqref="B59"/>
    </sheetView>
  </sheetViews>
  <sheetFormatPr defaultRowHeight="14.4" x14ac:dyDescent="0.3"/>
  <cols>
    <col min="1" max="1" width="12.44140625" customWidth="1"/>
    <col min="2" max="2" width="22.33203125" bestFit="1" customWidth="1"/>
    <col min="3" max="3" width="73.44140625" customWidth="1"/>
    <col min="4" max="4" width="16.6640625" bestFit="1" customWidth="1"/>
    <col min="5" max="5" width="13" bestFit="1" customWidth="1"/>
    <col min="6" max="6" width="13.109375" bestFit="1" customWidth="1"/>
    <col min="7" max="7" width="9.5546875" bestFit="1" customWidth="1"/>
    <col min="10" max="10" width="57.33203125" bestFit="1" customWidth="1"/>
  </cols>
  <sheetData>
    <row r="1" spans="1:12" x14ac:dyDescent="0.3">
      <c r="A1" s="8" t="s">
        <v>1367</v>
      </c>
      <c r="B1" s="4" t="s">
        <v>10</v>
      </c>
      <c r="C1" s="9" t="s">
        <v>1368</v>
      </c>
      <c r="D1" s="10" t="s">
        <v>29</v>
      </c>
      <c r="E1" s="9" t="s">
        <v>1369</v>
      </c>
      <c r="F1" s="9" t="s">
        <v>1370</v>
      </c>
      <c r="G1" s="9" t="s">
        <v>1371</v>
      </c>
      <c r="J1" s="229" t="s">
        <v>1372</v>
      </c>
    </row>
    <row r="2" spans="1:12" x14ac:dyDescent="0.3">
      <c r="A2" s="6" t="s">
        <v>1373</v>
      </c>
      <c r="B2" s="4" t="s">
        <v>1131</v>
      </c>
      <c r="C2" s="4" t="s">
        <v>1374</v>
      </c>
      <c r="D2" s="29" t="s">
        <v>1375</v>
      </c>
      <c r="E2" t="str">
        <f t="shared" ref="E2:E65" si="0">IF(F2, "YES", "No")</f>
        <v>YES</v>
      </c>
      <c r="F2" s="25" t="b">
        <v>1</v>
      </c>
      <c r="G2" s="24" t="b">
        <f t="shared" ref="G2:G65" si="1">IF(COUNTIF($J$3:$J$100, B2) &gt; 0, TRUE, FALSE)</f>
        <v>1</v>
      </c>
      <c r="J2" s="229"/>
      <c r="K2" t="s">
        <v>1376</v>
      </c>
    </row>
    <row r="3" spans="1:12" x14ac:dyDescent="0.3">
      <c r="A3" s="6" t="s">
        <v>1377</v>
      </c>
      <c r="B3" s="4" t="s">
        <v>1378</v>
      </c>
      <c r="C3" s="4" t="s">
        <v>1379</v>
      </c>
      <c r="D3" s="29" t="s">
        <v>1375</v>
      </c>
      <c r="E3" t="str">
        <f t="shared" si="0"/>
        <v>No</v>
      </c>
      <c r="F3" s="25"/>
      <c r="G3" s="24" t="b">
        <f>IF(COUNTIF($J$3:$J$100, B3) &gt; 0, TRUE, FALSE)</f>
        <v>0</v>
      </c>
      <c r="J3" t="s">
        <v>1131</v>
      </c>
    </row>
    <row r="4" spans="1:12" x14ac:dyDescent="0.3">
      <c r="A4" s="6" t="s">
        <v>1380</v>
      </c>
      <c r="B4" s="4" t="s">
        <v>1381</v>
      </c>
      <c r="C4" s="4" t="s">
        <v>1382</v>
      </c>
      <c r="D4" s="29" t="s">
        <v>1375</v>
      </c>
      <c r="E4" t="str">
        <f t="shared" si="0"/>
        <v>No</v>
      </c>
      <c r="F4" s="25"/>
      <c r="G4" s="24" t="b">
        <f t="shared" si="1"/>
        <v>0</v>
      </c>
      <c r="J4" t="s">
        <v>80</v>
      </c>
    </row>
    <row r="5" spans="1:12" x14ac:dyDescent="0.3">
      <c r="A5" s="6" t="s">
        <v>1383</v>
      </c>
      <c r="B5" s="4" t="s">
        <v>1384</v>
      </c>
      <c r="C5" s="4" t="s">
        <v>1385</v>
      </c>
      <c r="D5" s="29" t="s">
        <v>1375</v>
      </c>
      <c r="E5" t="str">
        <f t="shared" si="0"/>
        <v>No</v>
      </c>
      <c r="F5" s="25"/>
      <c r="G5" s="24" t="b">
        <f t="shared" si="1"/>
        <v>0</v>
      </c>
      <c r="J5" t="s">
        <v>89</v>
      </c>
    </row>
    <row r="6" spans="1:12" x14ac:dyDescent="0.3">
      <c r="A6" s="6"/>
      <c r="B6" s="4"/>
      <c r="C6" s="4"/>
      <c r="D6" s="29" t="s">
        <v>1375</v>
      </c>
      <c r="E6" t="str">
        <f t="shared" si="0"/>
        <v>No</v>
      </c>
      <c r="F6" s="25"/>
      <c r="G6" s="24" t="b">
        <f t="shared" si="1"/>
        <v>0</v>
      </c>
      <c r="J6" t="s">
        <v>68</v>
      </c>
    </row>
    <row r="7" spans="1:12" x14ac:dyDescent="0.3">
      <c r="A7" s="6" t="s">
        <v>1386</v>
      </c>
      <c r="B7" s="4" t="s">
        <v>1387</v>
      </c>
      <c r="C7" s="4" t="s">
        <v>1388</v>
      </c>
      <c r="D7" s="29" t="s">
        <v>57</v>
      </c>
      <c r="E7" t="str">
        <f t="shared" si="0"/>
        <v>No</v>
      </c>
      <c r="F7" s="25"/>
      <c r="G7" s="24" t="b">
        <f t="shared" si="1"/>
        <v>0</v>
      </c>
      <c r="J7" t="s">
        <v>351</v>
      </c>
    </row>
    <row r="8" spans="1:12" x14ac:dyDescent="0.3">
      <c r="A8" s="6" t="s">
        <v>1389</v>
      </c>
      <c r="B8" s="4" t="s">
        <v>137</v>
      </c>
      <c r="C8" s="4" t="s">
        <v>1107</v>
      </c>
      <c r="D8" s="29" t="s">
        <v>1390</v>
      </c>
      <c r="E8" t="str">
        <f t="shared" si="0"/>
        <v>No</v>
      </c>
      <c r="F8" s="25"/>
      <c r="G8" s="24" t="b">
        <f t="shared" si="1"/>
        <v>0</v>
      </c>
      <c r="J8" t="s">
        <v>1391</v>
      </c>
    </row>
    <row r="9" spans="1:12" x14ac:dyDescent="0.3">
      <c r="A9" s="6"/>
      <c r="B9" s="4"/>
      <c r="C9" s="4"/>
      <c r="D9" s="29" t="s">
        <v>1390</v>
      </c>
      <c r="E9" t="str">
        <f t="shared" si="0"/>
        <v>No</v>
      </c>
      <c r="F9" s="25"/>
      <c r="G9" s="24" t="b">
        <f t="shared" si="1"/>
        <v>0</v>
      </c>
      <c r="J9" s="73" t="s">
        <v>1392</v>
      </c>
    </row>
    <row r="10" spans="1:12" x14ac:dyDescent="0.3">
      <c r="A10" s="6" t="s">
        <v>1393</v>
      </c>
      <c r="B10" s="4" t="s">
        <v>200</v>
      </c>
      <c r="C10" s="4" t="s">
        <v>1111</v>
      </c>
      <c r="D10" s="29" t="s">
        <v>1394</v>
      </c>
      <c r="E10" t="str">
        <f t="shared" si="0"/>
        <v>No</v>
      </c>
      <c r="F10" s="25"/>
      <c r="G10" s="24" t="b">
        <f t="shared" si="1"/>
        <v>0</v>
      </c>
      <c r="J10" s="73" t="s">
        <v>1395</v>
      </c>
    </row>
    <row r="11" spans="1:12" x14ac:dyDescent="0.3">
      <c r="A11" s="6"/>
      <c r="B11" s="4"/>
      <c r="C11" s="4"/>
      <c r="D11" s="29" t="s">
        <v>1394</v>
      </c>
      <c r="E11" t="str">
        <f t="shared" si="0"/>
        <v>No</v>
      </c>
      <c r="F11" s="25"/>
      <c r="G11" s="24" t="b">
        <f t="shared" si="1"/>
        <v>0</v>
      </c>
      <c r="J11" s="73" t="s">
        <v>1396</v>
      </c>
    </row>
    <row r="12" spans="1:12" x14ac:dyDescent="0.3">
      <c r="A12" s="6" t="s">
        <v>1397</v>
      </c>
      <c r="B12" s="4" t="s">
        <v>1398</v>
      </c>
      <c r="C12" s="4" t="s">
        <v>1399</v>
      </c>
      <c r="D12" s="29" t="s">
        <v>1400</v>
      </c>
      <c r="E12" t="str">
        <f t="shared" si="0"/>
        <v>No</v>
      </c>
      <c r="F12" s="25"/>
      <c r="G12" s="24" t="b">
        <f t="shared" si="1"/>
        <v>0</v>
      </c>
      <c r="J12" s="73" t="s">
        <v>1401</v>
      </c>
    </row>
    <row r="13" spans="1:12" x14ac:dyDescent="0.3">
      <c r="A13" s="6"/>
      <c r="B13" s="4"/>
      <c r="C13" s="4"/>
      <c r="D13" s="29" t="s">
        <v>1400</v>
      </c>
      <c r="E13" t="str">
        <f t="shared" si="0"/>
        <v>No</v>
      </c>
      <c r="F13" s="25"/>
      <c r="G13" s="24" t="b">
        <f t="shared" si="1"/>
        <v>0</v>
      </c>
      <c r="J13" s="73" t="s">
        <v>830</v>
      </c>
    </row>
    <row r="14" spans="1:12" x14ac:dyDescent="0.3">
      <c r="A14" s="6" t="s">
        <v>1402</v>
      </c>
      <c r="B14" s="4" t="s">
        <v>1403</v>
      </c>
      <c r="C14" s="4" t="s">
        <v>1404</v>
      </c>
      <c r="D14" s="29" t="s">
        <v>1405</v>
      </c>
      <c r="E14" t="str">
        <f t="shared" si="0"/>
        <v>No</v>
      </c>
      <c r="F14" s="25"/>
      <c r="G14" s="24" t="b">
        <f t="shared" si="1"/>
        <v>0</v>
      </c>
      <c r="J14" s="73" t="s">
        <v>1406</v>
      </c>
    </row>
    <row r="15" spans="1:12" x14ac:dyDescent="0.3">
      <c r="A15" s="6"/>
      <c r="B15" s="4"/>
      <c r="C15" s="4"/>
      <c r="D15" s="29" t="s">
        <v>1405</v>
      </c>
      <c r="E15" t="str">
        <f t="shared" si="0"/>
        <v>No</v>
      </c>
      <c r="F15" s="25"/>
      <c r="G15" s="24" t="b">
        <f t="shared" si="1"/>
        <v>0</v>
      </c>
      <c r="J15" s="73" t="s">
        <v>1407</v>
      </c>
    </row>
    <row r="16" spans="1:12" x14ac:dyDescent="0.3">
      <c r="A16" s="6" t="s">
        <v>1408</v>
      </c>
      <c r="B16" s="4" t="s">
        <v>296</v>
      </c>
      <c r="C16" s="4" t="s">
        <v>1110</v>
      </c>
      <c r="D16" s="29" t="s">
        <v>1409</v>
      </c>
      <c r="E16" t="str">
        <f t="shared" si="0"/>
        <v>YES</v>
      </c>
      <c r="F16" s="25" t="b">
        <v>1</v>
      </c>
      <c r="G16" s="24" t="b">
        <f t="shared" si="1"/>
        <v>1</v>
      </c>
      <c r="J16" s="73" t="s">
        <v>686</v>
      </c>
    </row>
    <row r="17" spans="1:10" x14ac:dyDescent="0.3">
      <c r="A17" s="6"/>
      <c r="B17" s="4"/>
      <c r="C17" s="4"/>
      <c r="D17" s="29" t="s">
        <v>1409</v>
      </c>
      <c r="E17" t="str">
        <f t="shared" si="0"/>
        <v>No</v>
      </c>
      <c r="F17" s="25"/>
      <c r="G17" s="24" t="b">
        <f t="shared" si="1"/>
        <v>0</v>
      </c>
      <c r="J17" s="73" t="s">
        <v>1410</v>
      </c>
    </row>
    <row r="18" spans="1:10" x14ac:dyDescent="0.3">
      <c r="A18" s="6" t="s">
        <v>1411</v>
      </c>
      <c r="B18" s="4" t="s">
        <v>1412</v>
      </c>
      <c r="C18" s="4" t="s">
        <v>1413</v>
      </c>
      <c r="D18" s="29" t="s">
        <v>1414</v>
      </c>
      <c r="E18" t="str">
        <f t="shared" si="0"/>
        <v>No</v>
      </c>
      <c r="F18" s="25"/>
      <c r="G18" s="24" t="b">
        <f t="shared" si="1"/>
        <v>0</v>
      </c>
      <c r="J18" s="73" t="s">
        <v>1415</v>
      </c>
    </row>
    <row r="19" spans="1:10" x14ac:dyDescent="0.3">
      <c r="A19" s="6" t="s">
        <v>1416</v>
      </c>
      <c r="B19" s="4" t="s">
        <v>1417</v>
      </c>
      <c r="C19" s="4" t="s">
        <v>1418</v>
      </c>
      <c r="D19" s="29" t="s">
        <v>1414</v>
      </c>
      <c r="E19" t="str">
        <f t="shared" si="0"/>
        <v>No</v>
      </c>
      <c r="F19" s="25"/>
      <c r="G19" s="24" t="b">
        <f t="shared" si="1"/>
        <v>0</v>
      </c>
      <c r="J19" s="73" t="s">
        <v>1419</v>
      </c>
    </row>
    <row r="20" spans="1:10" x14ac:dyDescent="0.3">
      <c r="A20" s="6" t="s">
        <v>1420</v>
      </c>
      <c r="B20" s="4" t="s">
        <v>1421</v>
      </c>
      <c r="C20" s="4" t="s">
        <v>1413</v>
      </c>
      <c r="D20" s="29" t="s">
        <v>1414</v>
      </c>
      <c r="E20" t="str">
        <f t="shared" si="0"/>
        <v>No</v>
      </c>
      <c r="F20" s="25"/>
      <c r="G20" s="24" t="b">
        <f t="shared" si="1"/>
        <v>0</v>
      </c>
      <c r="J20" t="s">
        <v>1422</v>
      </c>
    </row>
    <row r="21" spans="1:10" x14ac:dyDescent="0.3">
      <c r="A21" s="6" t="s">
        <v>1423</v>
      </c>
      <c r="B21" s="4" t="s">
        <v>1424</v>
      </c>
      <c r="C21" s="4" t="s">
        <v>1418</v>
      </c>
      <c r="D21" s="29" t="s">
        <v>1414</v>
      </c>
      <c r="E21" t="str">
        <f t="shared" si="0"/>
        <v>No</v>
      </c>
      <c r="F21" s="25"/>
      <c r="G21" s="24" t="b">
        <f t="shared" si="1"/>
        <v>0</v>
      </c>
      <c r="J21" t="s">
        <v>1425</v>
      </c>
    </row>
    <row r="22" spans="1:10" x14ac:dyDescent="0.3">
      <c r="A22" s="7" t="s">
        <v>1426</v>
      </c>
      <c r="B22" s="5" t="s">
        <v>1427</v>
      </c>
      <c r="C22" s="5" t="s">
        <v>1428</v>
      </c>
      <c r="D22" s="30" t="s">
        <v>1414</v>
      </c>
      <c r="E22" t="str">
        <f t="shared" si="0"/>
        <v>No</v>
      </c>
      <c r="F22" s="25"/>
      <c r="G22" s="24" t="b">
        <f t="shared" si="1"/>
        <v>0</v>
      </c>
      <c r="J22" t="s">
        <v>1429</v>
      </c>
    </row>
    <row r="23" spans="1:10" x14ac:dyDescent="0.3">
      <c r="A23" s="7" t="s">
        <v>1430</v>
      </c>
      <c r="B23" s="5" t="s">
        <v>1431</v>
      </c>
      <c r="C23" s="5" t="s">
        <v>1428</v>
      </c>
      <c r="D23" s="30" t="s">
        <v>1432</v>
      </c>
      <c r="E23" t="str">
        <f t="shared" si="0"/>
        <v>No</v>
      </c>
      <c r="F23" s="25"/>
      <c r="G23" s="24" t="b">
        <f t="shared" si="1"/>
        <v>0</v>
      </c>
      <c r="J23" t="s">
        <v>1433</v>
      </c>
    </row>
    <row r="24" spans="1:10" x14ac:dyDescent="0.3">
      <c r="A24" s="7" t="s">
        <v>1434</v>
      </c>
      <c r="B24" s="5" t="s">
        <v>1435</v>
      </c>
      <c r="C24" s="5" t="s">
        <v>1436</v>
      </c>
      <c r="D24" s="30" t="s">
        <v>1437</v>
      </c>
      <c r="E24" t="str">
        <f t="shared" si="0"/>
        <v>No</v>
      </c>
      <c r="F24" s="25"/>
      <c r="G24" s="24" t="b">
        <f t="shared" si="1"/>
        <v>0</v>
      </c>
      <c r="J24" t="s">
        <v>1438</v>
      </c>
    </row>
    <row r="25" spans="1:10" x14ac:dyDescent="0.3">
      <c r="A25" s="7" t="s">
        <v>1439</v>
      </c>
      <c r="B25" s="5" t="s">
        <v>998</v>
      </c>
      <c r="C25" s="5" t="s">
        <v>1436</v>
      </c>
      <c r="D25" s="30" t="s">
        <v>1437</v>
      </c>
      <c r="E25" t="str">
        <f t="shared" si="0"/>
        <v>No</v>
      </c>
      <c r="F25" s="25"/>
      <c r="G25" s="24" t="b">
        <f t="shared" si="1"/>
        <v>0</v>
      </c>
      <c r="J25" t="s">
        <v>1440</v>
      </c>
    </row>
    <row r="26" spans="1:10" x14ac:dyDescent="0.3">
      <c r="A26" s="7" t="s">
        <v>1441</v>
      </c>
      <c r="B26" s="5" t="s">
        <v>956</v>
      </c>
      <c r="C26" s="5" t="s">
        <v>1442</v>
      </c>
      <c r="D26" s="30" t="s">
        <v>1443</v>
      </c>
      <c r="E26" t="str">
        <f t="shared" si="0"/>
        <v>No</v>
      </c>
      <c r="F26" s="25"/>
      <c r="G26" s="24" t="b">
        <f t="shared" si="1"/>
        <v>0</v>
      </c>
      <c r="J26" t="s">
        <v>485</v>
      </c>
    </row>
    <row r="27" spans="1:10" x14ac:dyDescent="0.3">
      <c r="A27" s="7" t="s">
        <v>1444</v>
      </c>
      <c r="B27" s="5" t="s">
        <v>821</v>
      </c>
      <c r="C27" s="5" t="s">
        <v>1442</v>
      </c>
      <c r="D27" s="30" t="s">
        <v>1443</v>
      </c>
      <c r="E27" t="str">
        <f t="shared" si="0"/>
        <v>YES</v>
      </c>
      <c r="F27" s="25" t="b">
        <v>1</v>
      </c>
      <c r="G27" s="24" t="b">
        <f t="shared" si="1"/>
        <v>1</v>
      </c>
      <c r="J27" t="s">
        <v>257</v>
      </c>
    </row>
    <row r="28" spans="1:10" x14ac:dyDescent="0.3">
      <c r="A28" s="7" t="s">
        <v>1445</v>
      </c>
      <c r="B28" s="5" t="s">
        <v>501</v>
      </c>
      <c r="C28" s="5" t="s">
        <v>1436</v>
      </c>
      <c r="D28" s="30" t="s">
        <v>1437</v>
      </c>
      <c r="E28" t="str">
        <f t="shared" si="0"/>
        <v>YES</v>
      </c>
      <c r="F28" s="25" t="b">
        <v>1</v>
      </c>
      <c r="G28" s="24" t="b">
        <f t="shared" si="1"/>
        <v>1</v>
      </c>
      <c r="J28" t="s">
        <v>501</v>
      </c>
    </row>
    <row r="29" spans="1:10" x14ac:dyDescent="0.3">
      <c r="A29" s="7" t="s">
        <v>1446</v>
      </c>
      <c r="B29" s="5" t="s">
        <v>257</v>
      </c>
      <c r="C29" s="5" t="s">
        <v>1442</v>
      </c>
      <c r="D29" s="30" t="s">
        <v>1443</v>
      </c>
      <c r="E29" t="str">
        <f t="shared" si="0"/>
        <v>YES</v>
      </c>
      <c r="F29" s="25" t="b">
        <v>1</v>
      </c>
      <c r="G29" s="24" t="b">
        <f t="shared" si="1"/>
        <v>1</v>
      </c>
      <c r="J29" t="s">
        <v>821</v>
      </c>
    </row>
    <row r="30" spans="1:10" x14ac:dyDescent="0.3">
      <c r="A30" s="7" t="s">
        <v>1447</v>
      </c>
      <c r="B30" s="5" t="s">
        <v>1440</v>
      </c>
      <c r="C30" s="5" t="s">
        <v>1448</v>
      </c>
      <c r="D30" s="30" t="s">
        <v>1449</v>
      </c>
      <c r="E30" t="str">
        <f t="shared" si="0"/>
        <v>YES</v>
      </c>
      <c r="F30" s="25" t="b">
        <v>1</v>
      </c>
      <c r="G30" s="24" t="b">
        <f t="shared" si="1"/>
        <v>1</v>
      </c>
      <c r="J30" t="s">
        <v>154</v>
      </c>
    </row>
    <row r="31" spans="1:10" x14ac:dyDescent="0.3">
      <c r="A31" s="7" t="s">
        <v>1450</v>
      </c>
      <c r="B31" s="5" t="s">
        <v>802</v>
      </c>
      <c r="C31" s="5" t="s">
        <v>1451</v>
      </c>
      <c r="D31" s="30" t="s">
        <v>1452</v>
      </c>
      <c r="E31" t="str">
        <f t="shared" si="0"/>
        <v>No</v>
      </c>
      <c r="F31" s="25"/>
      <c r="G31" s="24" t="b">
        <f t="shared" si="1"/>
        <v>0</v>
      </c>
      <c r="J31" t="s">
        <v>296</v>
      </c>
    </row>
    <row r="32" spans="1:10" x14ac:dyDescent="0.3">
      <c r="A32" s="7" t="s">
        <v>1453</v>
      </c>
      <c r="B32" s="5" t="s">
        <v>147</v>
      </c>
      <c r="C32" s="5" t="s">
        <v>1115</v>
      </c>
      <c r="D32" s="30" t="s">
        <v>1454</v>
      </c>
      <c r="E32" t="str">
        <f t="shared" si="0"/>
        <v>YES</v>
      </c>
      <c r="F32" s="25" t="b">
        <v>1</v>
      </c>
      <c r="G32" s="24" t="b">
        <f t="shared" si="1"/>
        <v>1</v>
      </c>
      <c r="J32" t="s">
        <v>241</v>
      </c>
    </row>
    <row r="33" spans="1:10" x14ac:dyDescent="0.3">
      <c r="A33" s="7" t="s">
        <v>1455</v>
      </c>
      <c r="B33" s="5" t="s">
        <v>128</v>
      </c>
      <c r="C33" s="5" t="s">
        <v>1103</v>
      </c>
      <c r="D33" s="30" t="s">
        <v>1456</v>
      </c>
      <c r="E33" t="str">
        <f t="shared" si="0"/>
        <v>No</v>
      </c>
      <c r="F33" s="25"/>
      <c r="G33" s="24" t="b">
        <f t="shared" si="1"/>
        <v>0</v>
      </c>
      <c r="J33" t="s">
        <v>16</v>
      </c>
    </row>
    <row r="34" spans="1:10" x14ac:dyDescent="0.3">
      <c r="A34" s="7" t="s">
        <v>1457</v>
      </c>
      <c r="B34" s="5" t="s">
        <v>1458</v>
      </c>
      <c r="C34" s="5" t="s">
        <v>1459</v>
      </c>
      <c r="D34" s="30" t="s">
        <v>1460</v>
      </c>
      <c r="E34" t="str">
        <f t="shared" si="0"/>
        <v>No</v>
      </c>
      <c r="F34" s="25"/>
      <c r="G34" s="24" t="b">
        <f t="shared" si="1"/>
        <v>0</v>
      </c>
      <c r="J34" t="s">
        <v>370</v>
      </c>
    </row>
    <row r="35" spans="1:10" x14ac:dyDescent="0.3">
      <c r="A35" s="7" t="s">
        <v>1461</v>
      </c>
      <c r="B35" s="5" t="s">
        <v>154</v>
      </c>
      <c r="C35" s="5" t="s">
        <v>1109</v>
      </c>
      <c r="D35" s="30" t="s">
        <v>1462</v>
      </c>
      <c r="E35" t="str">
        <f t="shared" si="0"/>
        <v>YES</v>
      </c>
      <c r="F35" s="25" t="b">
        <v>1</v>
      </c>
      <c r="G35" s="24" t="b">
        <f t="shared" si="1"/>
        <v>1</v>
      </c>
      <c r="J35" t="s">
        <v>769</v>
      </c>
    </row>
    <row r="36" spans="1:10" x14ac:dyDescent="0.3">
      <c r="A36" s="7" t="s">
        <v>1463</v>
      </c>
      <c r="B36" s="5" t="s">
        <v>1464</v>
      </c>
      <c r="C36" s="5" t="s">
        <v>1102</v>
      </c>
      <c r="D36" s="30" t="s">
        <v>1465</v>
      </c>
      <c r="E36" t="str">
        <f t="shared" si="0"/>
        <v>No</v>
      </c>
      <c r="F36" s="25"/>
      <c r="G36" s="24" t="b">
        <f t="shared" si="1"/>
        <v>0</v>
      </c>
      <c r="J36" t="s">
        <v>147</v>
      </c>
    </row>
    <row r="37" spans="1:10" x14ac:dyDescent="0.3">
      <c r="A37" s="7" t="s">
        <v>1466</v>
      </c>
      <c r="B37" s="5" t="s">
        <v>1467</v>
      </c>
      <c r="C37" s="5" t="s">
        <v>1468</v>
      </c>
      <c r="D37" s="30" t="s">
        <v>1469</v>
      </c>
      <c r="E37" t="str">
        <f t="shared" si="0"/>
        <v>No</v>
      </c>
      <c r="F37" s="25"/>
      <c r="G37" s="24" t="b">
        <f t="shared" si="1"/>
        <v>0</v>
      </c>
      <c r="J37" t="s">
        <v>1470</v>
      </c>
    </row>
    <row r="38" spans="1:10" x14ac:dyDescent="0.3">
      <c r="A38" s="7" t="s">
        <v>1471</v>
      </c>
      <c r="B38" s="5" t="s">
        <v>1472</v>
      </c>
      <c r="C38" s="5" t="s">
        <v>1473</v>
      </c>
      <c r="D38" s="30" t="s">
        <v>1474</v>
      </c>
      <c r="E38" t="str">
        <f t="shared" si="0"/>
        <v>No</v>
      </c>
      <c r="F38" s="25"/>
      <c r="G38" s="24" t="b">
        <f t="shared" si="1"/>
        <v>0</v>
      </c>
    </row>
    <row r="39" spans="1:10" x14ac:dyDescent="0.3">
      <c r="A39" s="7" t="s">
        <v>1475</v>
      </c>
      <c r="B39" s="5" t="s">
        <v>1476</v>
      </c>
      <c r="C39" s="5" t="s">
        <v>1477</v>
      </c>
      <c r="D39" s="30" t="s">
        <v>1478</v>
      </c>
      <c r="E39" t="str">
        <f t="shared" si="0"/>
        <v>No</v>
      </c>
      <c r="F39" s="25"/>
      <c r="G39" s="24" t="b">
        <f t="shared" si="1"/>
        <v>0</v>
      </c>
    </row>
    <row r="40" spans="1:10" x14ac:dyDescent="0.3">
      <c r="A40" s="7" t="s">
        <v>1479</v>
      </c>
      <c r="B40" s="5" t="s">
        <v>1480</v>
      </c>
      <c r="C40" s="5" t="s">
        <v>1374</v>
      </c>
      <c r="D40" s="30" t="s">
        <v>57</v>
      </c>
      <c r="E40" t="str">
        <f t="shared" si="0"/>
        <v>No</v>
      </c>
      <c r="F40" s="25"/>
      <c r="G40" s="24" t="b">
        <f t="shared" si="1"/>
        <v>0</v>
      </c>
    </row>
    <row r="41" spans="1:10" x14ac:dyDescent="0.3">
      <c r="A41" s="7" t="s">
        <v>1481</v>
      </c>
      <c r="B41" s="5" t="s">
        <v>1482</v>
      </c>
      <c r="C41" s="5" t="s">
        <v>1374</v>
      </c>
      <c r="D41" s="30" t="s">
        <v>57</v>
      </c>
      <c r="E41" t="str">
        <f t="shared" si="0"/>
        <v>No</v>
      </c>
      <c r="F41" s="25"/>
      <c r="G41" s="24" t="b">
        <f t="shared" si="1"/>
        <v>0</v>
      </c>
    </row>
    <row r="42" spans="1:10" x14ac:dyDescent="0.3">
      <c r="A42" s="7" t="s">
        <v>1483</v>
      </c>
      <c r="B42" s="5" t="s">
        <v>1484</v>
      </c>
      <c r="C42" s="5" t="s">
        <v>1485</v>
      </c>
      <c r="D42" s="30" t="s">
        <v>1375</v>
      </c>
      <c r="E42" t="str">
        <f t="shared" si="0"/>
        <v>No</v>
      </c>
      <c r="F42" s="25"/>
      <c r="G42" s="24" t="b">
        <f t="shared" si="1"/>
        <v>0</v>
      </c>
    </row>
    <row r="43" spans="1:10" x14ac:dyDescent="0.3">
      <c r="A43" s="7" t="s">
        <v>1486</v>
      </c>
      <c r="B43" s="5" t="s">
        <v>1487</v>
      </c>
      <c r="C43" s="5" t="s">
        <v>1488</v>
      </c>
      <c r="D43" s="30" t="s">
        <v>1489</v>
      </c>
      <c r="E43" t="str">
        <f t="shared" si="0"/>
        <v>No</v>
      </c>
      <c r="F43" s="25"/>
      <c r="G43" s="24" t="b">
        <f t="shared" si="1"/>
        <v>0</v>
      </c>
    </row>
    <row r="44" spans="1:10" x14ac:dyDescent="0.3">
      <c r="A44" s="7" t="s">
        <v>1490</v>
      </c>
      <c r="B44" s="5" t="s">
        <v>1491</v>
      </c>
      <c r="C44" s="5" t="s">
        <v>1492</v>
      </c>
      <c r="D44" s="30" t="s">
        <v>1493</v>
      </c>
      <c r="E44" t="str">
        <f t="shared" si="0"/>
        <v>No</v>
      </c>
      <c r="F44" s="25"/>
      <c r="G44" s="24" t="b">
        <f t="shared" si="1"/>
        <v>0</v>
      </c>
    </row>
    <row r="45" spans="1:10" x14ac:dyDescent="0.3">
      <c r="A45" s="7" t="s">
        <v>1494</v>
      </c>
      <c r="B45" s="5" t="s">
        <v>1495</v>
      </c>
      <c r="C45" s="5" t="s">
        <v>1496</v>
      </c>
      <c r="D45" s="30" t="s">
        <v>1493</v>
      </c>
      <c r="E45" t="str">
        <f t="shared" si="0"/>
        <v>No</v>
      </c>
      <c r="F45" s="25"/>
      <c r="G45" s="24" t="b">
        <f t="shared" si="1"/>
        <v>0</v>
      </c>
    </row>
    <row r="46" spans="1:10" x14ac:dyDescent="0.3">
      <c r="A46" s="7" t="s">
        <v>1497</v>
      </c>
      <c r="B46" s="5" t="s">
        <v>1498</v>
      </c>
      <c r="C46" s="5" t="s">
        <v>1499</v>
      </c>
      <c r="D46" s="30" t="s">
        <v>1500</v>
      </c>
      <c r="E46" t="str">
        <f t="shared" si="0"/>
        <v>No</v>
      </c>
      <c r="F46" s="25"/>
      <c r="G46" s="24" t="b">
        <f t="shared" si="1"/>
        <v>0</v>
      </c>
    </row>
    <row r="47" spans="1:10" x14ac:dyDescent="0.3">
      <c r="A47" s="7" t="s">
        <v>1501</v>
      </c>
      <c r="B47" s="5" t="s">
        <v>1406</v>
      </c>
      <c r="C47" s="5" t="s">
        <v>1100</v>
      </c>
      <c r="D47" s="30" t="s">
        <v>1502</v>
      </c>
      <c r="E47" t="str">
        <f t="shared" si="0"/>
        <v>YES</v>
      </c>
      <c r="F47" s="25" t="b">
        <v>1</v>
      </c>
      <c r="G47" s="24" t="b">
        <f t="shared" si="1"/>
        <v>1</v>
      </c>
    </row>
    <row r="48" spans="1:10" x14ac:dyDescent="0.3">
      <c r="A48" s="7" t="s">
        <v>1503</v>
      </c>
      <c r="B48" s="5" t="s">
        <v>14</v>
      </c>
      <c r="C48" s="5" t="s">
        <v>1100</v>
      </c>
      <c r="D48" s="30" t="s">
        <v>1504</v>
      </c>
      <c r="E48" t="str">
        <f t="shared" si="0"/>
        <v>No</v>
      </c>
      <c r="F48" s="25"/>
      <c r="G48" s="24" t="b">
        <f t="shared" si="1"/>
        <v>0</v>
      </c>
    </row>
    <row r="49" spans="1:7" x14ac:dyDescent="0.3">
      <c r="A49" s="7" t="s">
        <v>1505</v>
      </c>
      <c r="B49" s="5" t="s">
        <v>1470</v>
      </c>
      <c r="C49" s="5" t="s">
        <v>1506</v>
      </c>
      <c r="D49" s="30" t="s">
        <v>1465</v>
      </c>
      <c r="E49" t="str">
        <f t="shared" si="0"/>
        <v>YES</v>
      </c>
      <c r="F49" s="25" t="b">
        <v>1</v>
      </c>
      <c r="G49" s="24" t="b">
        <f t="shared" si="1"/>
        <v>1</v>
      </c>
    </row>
    <row r="50" spans="1:7" x14ac:dyDescent="0.3">
      <c r="A50" s="7" t="s">
        <v>1507</v>
      </c>
      <c r="B50" s="5" t="s">
        <v>1407</v>
      </c>
      <c r="C50" s="5" t="s">
        <v>1508</v>
      </c>
      <c r="D50" s="30" t="s">
        <v>1460</v>
      </c>
      <c r="E50" t="str">
        <f t="shared" si="0"/>
        <v>YES</v>
      </c>
      <c r="F50" s="25" t="b">
        <v>1</v>
      </c>
      <c r="G50" s="24" t="b">
        <f t="shared" si="1"/>
        <v>1</v>
      </c>
    </row>
    <row r="51" spans="1:7" x14ac:dyDescent="0.3">
      <c r="A51" s="7" t="s">
        <v>1509</v>
      </c>
      <c r="B51" s="5" t="s">
        <v>1510</v>
      </c>
      <c r="C51" s="5" t="s">
        <v>1511</v>
      </c>
      <c r="D51" s="30" t="s">
        <v>1460</v>
      </c>
      <c r="E51" t="str">
        <f t="shared" si="0"/>
        <v>No</v>
      </c>
      <c r="F51" s="25"/>
      <c r="G51" s="24" t="b">
        <f t="shared" si="1"/>
        <v>0</v>
      </c>
    </row>
    <row r="52" spans="1:7" x14ac:dyDescent="0.3">
      <c r="A52" s="7" t="s">
        <v>1512</v>
      </c>
      <c r="B52" s="5" t="s">
        <v>763</v>
      </c>
      <c r="C52" s="5" t="s">
        <v>1102</v>
      </c>
      <c r="D52" s="30" t="s">
        <v>1513</v>
      </c>
      <c r="E52" t="str">
        <f t="shared" si="0"/>
        <v>No</v>
      </c>
      <c r="F52" s="25"/>
      <c r="G52" s="24" t="b">
        <f t="shared" si="1"/>
        <v>0</v>
      </c>
    </row>
    <row r="53" spans="1:7" x14ac:dyDescent="0.3">
      <c r="A53" s="7" t="s">
        <v>1514</v>
      </c>
      <c r="B53" s="5" t="s">
        <v>1515</v>
      </c>
      <c r="C53" s="5" t="s">
        <v>1102</v>
      </c>
      <c r="D53" s="30" t="s">
        <v>1516</v>
      </c>
      <c r="E53" t="str">
        <f t="shared" si="0"/>
        <v>No</v>
      </c>
      <c r="F53" s="25"/>
      <c r="G53" s="24" t="b">
        <f t="shared" si="1"/>
        <v>0</v>
      </c>
    </row>
    <row r="54" spans="1:7" x14ac:dyDescent="0.3">
      <c r="A54" s="7" t="s">
        <v>1517</v>
      </c>
      <c r="B54" s="5" t="s">
        <v>95</v>
      </c>
      <c r="C54" s="5" t="s">
        <v>1102</v>
      </c>
      <c r="D54" s="30" t="s">
        <v>1462</v>
      </c>
      <c r="E54" t="str">
        <f t="shared" si="0"/>
        <v>No</v>
      </c>
      <c r="F54" s="25"/>
      <c r="G54" s="24" t="b">
        <f t="shared" si="1"/>
        <v>0</v>
      </c>
    </row>
    <row r="55" spans="1:7" x14ac:dyDescent="0.3">
      <c r="A55" s="7" t="s">
        <v>1518</v>
      </c>
      <c r="B55" s="5" t="s">
        <v>209</v>
      </c>
      <c r="C55" s="5" t="s">
        <v>1102</v>
      </c>
      <c r="D55" s="30" t="s">
        <v>1519</v>
      </c>
      <c r="E55" t="str">
        <f t="shared" si="0"/>
        <v>No</v>
      </c>
      <c r="F55" s="25"/>
      <c r="G55" s="24" t="b">
        <f t="shared" si="1"/>
        <v>0</v>
      </c>
    </row>
    <row r="56" spans="1:7" x14ac:dyDescent="0.3">
      <c r="A56" s="7" t="s">
        <v>1520</v>
      </c>
      <c r="B56" s="5" t="s">
        <v>120</v>
      </c>
      <c r="C56" s="5" t="s">
        <v>1102</v>
      </c>
      <c r="D56" s="30" t="s">
        <v>1519</v>
      </c>
      <c r="E56" t="str">
        <f t="shared" si="0"/>
        <v>No</v>
      </c>
      <c r="F56" s="25"/>
      <c r="G56" s="24" t="b">
        <f t="shared" si="1"/>
        <v>0</v>
      </c>
    </row>
    <row r="57" spans="1:7" x14ac:dyDescent="0.3">
      <c r="A57" s="7" t="s">
        <v>1521</v>
      </c>
      <c r="B57" s="5" t="s">
        <v>633</v>
      </c>
      <c r="C57" s="5" t="s">
        <v>1102</v>
      </c>
      <c r="D57" s="30" t="s">
        <v>1519</v>
      </c>
      <c r="E57" t="str">
        <f t="shared" si="0"/>
        <v>No</v>
      </c>
      <c r="F57" s="25"/>
      <c r="G57" s="24" t="b">
        <f t="shared" si="1"/>
        <v>0</v>
      </c>
    </row>
    <row r="58" spans="1:7" x14ac:dyDescent="0.3">
      <c r="A58" s="7" t="s">
        <v>1522</v>
      </c>
      <c r="B58" s="5" t="s">
        <v>944</v>
      </c>
      <c r="C58" s="5" t="s">
        <v>1523</v>
      </c>
      <c r="D58" s="30" t="s">
        <v>1524</v>
      </c>
      <c r="E58" t="str">
        <f t="shared" si="0"/>
        <v>No</v>
      </c>
      <c r="F58" s="25"/>
      <c r="G58" s="24" t="b">
        <f t="shared" si="1"/>
        <v>0</v>
      </c>
    </row>
    <row r="59" spans="1:7" x14ac:dyDescent="0.3">
      <c r="A59" s="7" t="s">
        <v>1525</v>
      </c>
      <c r="B59" s="5" t="s">
        <v>160</v>
      </c>
      <c r="C59" s="5" t="s">
        <v>1526</v>
      </c>
      <c r="D59" s="30" t="s">
        <v>1527</v>
      </c>
      <c r="E59" t="str">
        <f t="shared" si="0"/>
        <v>No</v>
      </c>
      <c r="F59" s="25"/>
      <c r="G59" s="24" t="b">
        <f t="shared" si="1"/>
        <v>0</v>
      </c>
    </row>
    <row r="60" spans="1:7" x14ac:dyDescent="0.3">
      <c r="A60" s="7" t="s">
        <v>1528</v>
      </c>
      <c r="B60" s="5" t="s">
        <v>56</v>
      </c>
      <c r="C60" s="5" t="s">
        <v>1106</v>
      </c>
      <c r="D60" s="30" t="s">
        <v>1527</v>
      </c>
      <c r="E60" t="str">
        <f t="shared" si="0"/>
        <v>No</v>
      </c>
      <c r="F60" s="25"/>
      <c r="G60" s="24" t="b">
        <f t="shared" si="1"/>
        <v>0</v>
      </c>
    </row>
    <row r="61" spans="1:7" x14ac:dyDescent="0.3">
      <c r="A61" s="7" t="s">
        <v>1529</v>
      </c>
      <c r="B61" s="5" t="s">
        <v>111</v>
      </c>
      <c r="C61" s="5" t="s">
        <v>1530</v>
      </c>
      <c r="D61" s="30" t="s">
        <v>1527</v>
      </c>
      <c r="E61" t="str">
        <f t="shared" si="0"/>
        <v>No</v>
      </c>
      <c r="F61" s="25"/>
      <c r="G61" s="24" t="b">
        <f t="shared" si="1"/>
        <v>0</v>
      </c>
    </row>
    <row r="62" spans="1:7" x14ac:dyDescent="0.3">
      <c r="A62" s="7" t="s">
        <v>1531</v>
      </c>
      <c r="B62" s="5" t="s">
        <v>1532</v>
      </c>
      <c r="C62" s="5" t="s">
        <v>1533</v>
      </c>
      <c r="D62" s="30" t="s">
        <v>1534</v>
      </c>
      <c r="E62" t="str">
        <f t="shared" si="0"/>
        <v>No</v>
      </c>
      <c r="F62" s="25"/>
      <c r="G62" s="24" t="b">
        <f t="shared" si="1"/>
        <v>0</v>
      </c>
    </row>
    <row r="63" spans="1:7" x14ac:dyDescent="0.3">
      <c r="A63" s="7" t="s">
        <v>1535</v>
      </c>
      <c r="B63" s="5" t="s">
        <v>351</v>
      </c>
      <c r="C63" s="5" t="s">
        <v>1536</v>
      </c>
      <c r="D63" s="30" t="s">
        <v>1537</v>
      </c>
      <c r="E63" t="str">
        <f t="shared" si="0"/>
        <v>YES</v>
      </c>
      <c r="F63" s="25" t="b">
        <v>1</v>
      </c>
      <c r="G63" s="24" t="b">
        <f t="shared" si="1"/>
        <v>1</v>
      </c>
    </row>
    <row r="64" spans="1:7" x14ac:dyDescent="0.3">
      <c r="A64" s="7" t="s">
        <v>1538</v>
      </c>
      <c r="B64" s="5" t="s">
        <v>1539</v>
      </c>
      <c r="C64" s="5" t="s">
        <v>1451</v>
      </c>
      <c r="D64" s="30" t="s">
        <v>1540</v>
      </c>
      <c r="E64" t="str">
        <f t="shared" si="0"/>
        <v>No</v>
      </c>
      <c r="F64" s="25"/>
      <c r="G64" s="24" t="b">
        <f t="shared" si="1"/>
        <v>0</v>
      </c>
    </row>
    <row r="65" spans="1:7" x14ac:dyDescent="0.3">
      <c r="A65" s="7" t="s">
        <v>1541</v>
      </c>
      <c r="B65" s="5" t="s">
        <v>310</v>
      </c>
      <c r="C65" s="5" t="s">
        <v>1108</v>
      </c>
      <c r="D65" s="30" t="s">
        <v>1456</v>
      </c>
      <c r="E65" t="str">
        <f t="shared" si="0"/>
        <v>No</v>
      </c>
      <c r="F65" s="25"/>
      <c r="G65" s="24" t="b">
        <f t="shared" si="1"/>
        <v>0</v>
      </c>
    </row>
    <row r="66" spans="1:7" x14ac:dyDescent="0.3">
      <c r="A66" s="7" t="s">
        <v>1542</v>
      </c>
      <c r="B66" s="5" t="s">
        <v>16</v>
      </c>
      <c r="C66" s="5" t="s">
        <v>1108</v>
      </c>
      <c r="D66" s="30" t="s">
        <v>1543</v>
      </c>
      <c r="E66" t="str">
        <f t="shared" ref="E66:E129" si="2">IF(F66, "YES", "No")</f>
        <v>YES</v>
      </c>
      <c r="F66" s="25" t="b">
        <v>1</v>
      </c>
      <c r="G66" s="24" t="b">
        <f t="shared" ref="G66:G129" si="3">IF(COUNTIF($J$3:$J$100, B66) &gt; 0, TRUE, FALSE)</f>
        <v>1</v>
      </c>
    </row>
    <row r="67" spans="1:7" x14ac:dyDescent="0.3">
      <c r="A67" s="7" t="s">
        <v>1544</v>
      </c>
      <c r="B67" s="5" t="s">
        <v>686</v>
      </c>
      <c r="C67" s="5" t="s">
        <v>1108</v>
      </c>
      <c r="D67" s="30" t="s">
        <v>1543</v>
      </c>
      <c r="E67" t="str">
        <f t="shared" si="2"/>
        <v>YES</v>
      </c>
      <c r="F67" s="25" t="b">
        <v>1</v>
      </c>
      <c r="G67" s="24" t="b">
        <f t="shared" si="3"/>
        <v>1</v>
      </c>
    </row>
    <row r="68" spans="1:7" x14ac:dyDescent="0.3">
      <c r="A68" s="7" t="s">
        <v>1545</v>
      </c>
      <c r="B68" s="5" t="s">
        <v>241</v>
      </c>
      <c r="C68" s="5" t="s">
        <v>1108</v>
      </c>
      <c r="D68" s="30" t="s">
        <v>1543</v>
      </c>
      <c r="E68" t="str">
        <f t="shared" si="2"/>
        <v>YES</v>
      </c>
      <c r="F68" s="25" t="b">
        <v>1</v>
      </c>
      <c r="G68" s="24" t="b">
        <f t="shared" si="3"/>
        <v>1</v>
      </c>
    </row>
    <row r="69" spans="1:7" x14ac:dyDescent="0.3">
      <c r="A69" s="7" t="s">
        <v>1546</v>
      </c>
      <c r="B69" s="5" t="s">
        <v>1547</v>
      </c>
      <c r="C69" s="5" t="s">
        <v>1548</v>
      </c>
      <c r="D69" s="30" t="s">
        <v>1549</v>
      </c>
      <c r="E69" t="str">
        <f t="shared" si="2"/>
        <v>No</v>
      </c>
      <c r="F69" s="25"/>
      <c r="G69" s="24" t="b">
        <f t="shared" si="3"/>
        <v>0</v>
      </c>
    </row>
    <row r="70" spans="1:7" x14ac:dyDescent="0.3">
      <c r="A70" s="7" t="s">
        <v>1550</v>
      </c>
      <c r="B70" s="5" t="s">
        <v>1551</v>
      </c>
      <c r="C70" s="5" t="s">
        <v>1548</v>
      </c>
      <c r="D70" s="30" t="s">
        <v>1552</v>
      </c>
      <c r="E70" t="str">
        <f t="shared" si="2"/>
        <v>No</v>
      </c>
      <c r="F70" s="25"/>
      <c r="G70" s="24" t="b">
        <f t="shared" si="3"/>
        <v>0</v>
      </c>
    </row>
    <row r="71" spans="1:7" x14ac:dyDescent="0.3">
      <c r="A71" s="7" t="s">
        <v>1553</v>
      </c>
      <c r="B71" s="5" t="s">
        <v>485</v>
      </c>
      <c r="C71" s="5" t="s">
        <v>1554</v>
      </c>
      <c r="D71" s="30" t="s">
        <v>1555</v>
      </c>
      <c r="E71" t="str">
        <f t="shared" si="2"/>
        <v>YES</v>
      </c>
      <c r="F71" s="25" t="b">
        <v>1</v>
      </c>
      <c r="G71" s="24" t="b">
        <f t="shared" si="3"/>
        <v>1</v>
      </c>
    </row>
    <row r="72" spans="1:7" x14ac:dyDescent="0.3">
      <c r="A72" s="7" t="s">
        <v>1556</v>
      </c>
      <c r="B72" s="5" t="s">
        <v>1557</v>
      </c>
      <c r="C72" s="5" t="s">
        <v>1558</v>
      </c>
      <c r="D72" s="30" t="s">
        <v>57</v>
      </c>
      <c r="E72" t="str">
        <f t="shared" si="2"/>
        <v>No</v>
      </c>
      <c r="F72" s="25"/>
      <c r="G72" s="24" t="b">
        <f t="shared" si="3"/>
        <v>0</v>
      </c>
    </row>
    <row r="73" spans="1:7" x14ac:dyDescent="0.3">
      <c r="A73" s="7" t="s">
        <v>1559</v>
      </c>
      <c r="B73" s="5" t="s">
        <v>1560</v>
      </c>
      <c r="C73" s="5" t="s">
        <v>1561</v>
      </c>
      <c r="D73" s="30" t="s">
        <v>57</v>
      </c>
      <c r="E73" t="str">
        <f t="shared" si="2"/>
        <v>No</v>
      </c>
      <c r="F73" s="25"/>
      <c r="G73" s="24" t="b">
        <f t="shared" si="3"/>
        <v>0</v>
      </c>
    </row>
    <row r="74" spans="1:7" x14ac:dyDescent="0.3">
      <c r="A74" s="7" t="s">
        <v>1562</v>
      </c>
      <c r="B74" s="5" t="s">
        <v>1563</v>
      </c>
      <c r="C74" s="5" t="s">
        <v>1564</v>
      </c>
      <c r="D74" s="30" t="s">
        <v>57</v>
      </c>
      <c r="E74" t="str">
        <f t="shared" si="2"/>
        <v>No</v>
      </c>
      <c r="F74" s="25"/>
      <c r="G74" s="24" t="b">
        <f t="shared" si="3"/>
        <v>0</v>
      </c>
    </row>
    <row r="75" spans="1:7" x14ac:dyDescent="0.3">
      <c r="A75" s="7" t="s">
        <v>1565</v>
      </c>
      <c r="B75" s="5" t="s">
        <v>1566</v>
      </c>
      <c r="C75" s="5" t="s">
        <v>1567</v>
      </c>
      <c r="D75" s="30" t="s">
        <v>57</v>
      </c>
      <c r="E75" t="str">
        <f t="shared" si="2"/>
        <v>No</v>
      </c>
      <c r="F75" s="25"/>
      <c r="G75" s="24" t="b">
        <f t="shared" si="3"/>
        <v>0</v>
      </c>
    </row>
    <row r="76" spans="1:7" x14ac:dyDescent="0.3">
      <c r="A76" s="7" t="s">
        <v>1568</v>
      </c>
      <c r="B76" s="5" t="s">
        <v>1425</v>
      </c>
      <c r="C76" s="5" t="s">
        <v>1569</v>
      </c>
      <c r="D76" s="30" t="s">
        <v>1570</v>
      </c>
      <c r="E76" t="str">
        <f t="shared" si="2"/>
        <v>YES</v>
      </c>
      <c r="F76" s="25" t="b">
        <v>1</v>
      </c>
      <c r="G76" s="24" t="b">
        <f t="shared" si="3"/>
        <v>1</v>
      </c>
    </row>
    <row r="77" spans="1:7" x14ac:dyDescent="0.3">
      <c r="A77" s="7" t="s">
        <v>1571</v>
      </c>
      <c r="B77" s="5" t="s">
        <v>1572</v>
      </c>
      <c r="C77" s="5" t="s">
        <v>1108</v>
      </c>
      <c r="D77" s="30" t="s">
        <v>1543</v>
      </c>
      <c r="E77" t="str">
        <f t="shared" si="2"/>
        <v>No</v>
      </c>
      <c r="F77" s="25"/>
      <c r="G77" s="24" t="b">
        <f t="shared" si="3"/>
        <v>0</v>
      </c>
    </row>
    <row r="78" spans="1:7" x14ac:dyDescent="0.3">
      <c r="A78" s="7" t="s">
        <v>1573</v>
      </c>
      <c r="B78" s="5" t="s">
        <v>132</v>
      </c>
      <c r="C78" s="5" t="s">
        <v>1101</v>
      </c>
      <c r="D78" s="30" t="s">
        <v>1574</v>
      </c>
      <c r="E78" t="str">
        <f t="shared" si="2"/>
        <v>No</v>
      </c>
      <c r="F78" s="25"/>
      <c r="G78" s="24" t="b">
        <f t="shared" si="3"/>
        <v>0</v>
      </c>
    </row>
    <row r="79" spans="1:7" x14ac:dyDescent="0.3">
      <c r="A79" s="7" t="s">
        <v>1575</v>
      </c>
      <c r="B79" s="5" t="s">
        <v>1576</v>
      </c>
      <c r="C79" s="5" t="s">
        <v>1577</v>
      </c>
      <c r="D79" s="30" t="s">
        <v>1578</v>
      </c>
      <c r="E79" t="str">
        <f t="shared" si="2"/>
        <v>No</v>
      </c>
      <c r="F79" s="25"/>
      <c r="G79" s="24" t="b">
        <f t="shared" si="3"/>
        <v>0</v>
      </c>
    </row>
    <row r="80" spans="1:7" x14ac:dyDescent="0.3">
      <c r="A80" s="7" t="s">
        <v>1579</v>
      </c>
      <c r="B80" s="5" t="s">
        <v>1580</v>
      </c>
      <c r="C80" s="5" t="s">
        <v>1477</v>
      </c>
      <c r="D80" s="30" t="s">
        <v>1581</v>
      </c>
      <c r="E80" t="str">
        <f t="shared" si="2"/>
        <v>No</v>
      </c>
      <c r="F80" s="25"/>
      <c r="G80" s="24" t="b">
        <f t="shared" si="3"/>
        <v>0</v>
      </c>
    </row>
    <row r="81" spans="1:7" x14ac:dyDescent="0.3">
      <c r="A81" s="7" t="s">
        <v>1582</v>
      </c>
      <c r="B81" s="5" t="s">
        <v>1583</v>
      </c>
      <c r="C81" s="5" t="s">
        <v>1584</v>
      </c>
      <c r="D81" s="30" t="s">
        <v>1500</v>
      </c>
      <c r="E81" t="str">
        <f t="shared" si="2"/>
        <v>No</v>
      </c>
      <c r="F81" s="25"/>
      <c r="G81" s="24" t="b">
        <f t="shared" si="3"/>
        <v>0</v>
      </c>
    </row>
    <row r="82" spans="1:7" x14ac:dyDescent="0.3">
      <c r="A82" s="7" t="s">
        <v>1585</v>
      </c>
      <c r="B82" s="5" t="s">
        <v>1586</v>
      </c>
      <c r="C82" s="5" t="s">
        <v>1587</v>
      </c>
      <c r="D82" s="30" t="s">
        <v>1588</v>
      </c>
      <c r="E82" t="str">
        <f t="shared" si="2"/>
        <v>No</v>
      </c>
      <c r="F82" s="25"/>
      <c r="G82" s="24" t="b">
        <f t="shared" si="3"/>
        <v>0</v>
      </c>
    </row>
    <row r="83" spans="1:7" x14ac:dyDescent="0.3">
      <c r="A83" s="7" t="s">
        <v>1589</v>
      </c>
      <c r="B83" s="5" t="s">
        <v>1590</v>
      </c>
      <c r="C83" s="5" t="s">
        <v>1587</v>
      </c>
      <c r="D83" s="30" t="s">
        <v>1588</v>
      </c>
      <c r="E83" t="str">
        <f t="shared" si="2"/>
        <v>No</v>
      </c>
      <c r="F83" s="25"/>
      <c r="G83" s="24" t="b">
        <f t="shared" si="3"/>
        <v>0</v>
      </c>
    </row>
    <row r="84" spans="1:7" x14ac:dyDescent="0.3">
      <c r="A84" s="7" t="s">
        <v>1591</v>
      </c>
      <c r="B84" s="5" t="s">
        <v>1592</v>
      </c>
      <c r="C84" s="5" t="s">
        <v>1587</v>
      </c>
      <c r="D84" s="30" t="s">
        <v>1588</v>
      </c>
      <c r="E84" t="str">
        <f t="shared" si="2"/>
        <v>No</v>
      </c>
      <c r="F84" s="25"/>
      <c r="G84" s="24" t="b">
        <f t="shared" si="3"/>
        <v>0</v>
      </c>
    </row>
    <row r="85" spans="1:7" x14ac:dyDescent="0.3">
      <c r="A85" s="7" t="s">
        <v>1593</v>
      </c>
      <c r="B85" s="5" t="s">
        <v>406</v>
      </c>
      <c r="C85" s="5" t="s">
        <v>1594</v>
      </c>
      <c r="D85" s="30" t="s">
        <v>1595</v>
      </c>
      <c r="E85" t="str">
        <f t="shared" si="2"/>
        <v>No</v>
      </c>
      <c r="F85" s="25"/>
      <c r="G85" s="24" t="b">
        <f t="shared" si="3"/>
        <v>0</v>
      </c>
    </row>
    <row r="86" spans="1:7" x14ac:dyDescent="0.3">
      <c r="A86" s="7" t="s">
        <v>1596</v>
      </c>
      <c r="B86" s="5" t="s">
        <v>1597</v>
      </c>
      <c r="C86" s="5" t="s">
        <v>1587</v>
      </c>
      <c r="D86" s="30" t="s">
        <v>1595</v>
      </c>
      <c r="E86" t="str">
        <f t="shared" si="2"/>
        <v>No</v>
      </c>
      <c r="F86" s="25"/>
      <c r="G86" s="24" t="b">
        <f t="shared" si="3"/>
        <v>0</v>
      </c>
    </row>
    <row r="87" spans="1:7" x14ac:dyDescent="0.3">
      <c r="A87" s="7" t="s">
        <v>1598</v>
      </c>
      <c r="B87" s="5" t="s">
        <v>1599</v>
      </c>
      <c r="C87" s="5" t="s">
        <v>1600</v>
      </c>
      <c r="D87" s="30" t="s">
        <v>1601</v>
      </c>
      <c r="E87" t="str">
        <f t="shared" si="2"/>
        <v>No</v>
      </c>
      <c r="F87" s="25"/>
      <c r="G87" s="24" t="b">
        <f t="shared" si="3"/>
        <v>0</v>
      </c>
    </row>
    <row r="88" spans="1:7" x14ac:dyDescent="0.3">
      <c r="A88" s="7" t="s">
        <v>1602</v>
      </c>
      <c r="B88" s="5" t="s">
        <v>1603</v>
      </c>
      <c r="C88" s="5" t="s">
        <v>1604</v>
      </c>
      <c r="D88" s="30" t="s">
        <v>1605</v>
      </c>
      <c r="E88" t="str">
        <f t="shared" si="2"/>
        <v>No</v>
      </c>
      <c r="F88" s="25"/>
      <c r="G88" s="24" t="b">
        <f t="shared" si="3"/>
        <v>0</v>
      </c>
    </row>
    <row r="89" spans="1:7" x14ac:dyDescent="0.3">
      <c r="A89" s="7" t="s">
        <v>1606</v>
      </c>
      <c r="B89" s="5" t="s">
        <v>1607</v>
      </c>
      <c r="C89" s="5" t="s">
        <v>1608</v>
      </c>
      <c r="D89" s="30" t="s">
        <v>1609</v>
      </c>
      <c r="E89" t="str">
        <f t="shared" si="2"/>
        <v>No</v>
      </c>
      <c r="F89" s="25"/>
      <c r="G89" s="24" t="b">
        <f t="shared" si="3"/>
        <v>0</v>
      </c>
    </row>
    <row r="90" spans="1:7" x14ac:dyDescent="0.3">
      <c r="A90" s="7" t="s">
        <v>1610</v>
      </c>
      <c r="B90" s="5" t="s">
        <v>1611</v>
      </c>
      <c r="C90" s="5" t="s">
        <v>1612</v>
      </c>
      <c r="D90" s="30" t="s">
        <v>1613</v>
      </c>
      <c r="E90" t="str">
        <f t="shared" si="2"/>
        <v>No</v>
      </c>
      <c r="F90" s="25"/>
      <c r="G90" s="24" t="b">
        <f t="shared" si="3"/>
        <v>0</v>
      </c>
    </row>
    <row r="91" spans="1:7" x14ac:dyDescent="0.3">
      <c r="A91" s="7" t="s">
        <v>1614</v>
      </c>
      <c r="B91" s="5" t="s">
        <v>1615</v>
      </c>
      <c r="C91" s="5" t="s">
        <v>1616</v>
      </c>
      <c r="D91" s="30" t="s">
        <v>1617</v>
      </c>
      <c r="E91" t="str">
        <f t="shared" si="2"/>
        <v>No</v>
      </c>
      <c r="F91" s="25"/>
      <c r="G91" s="24" t="b">
        <f t="shared" si="3"/>
        <v>0</v>
      </c>
    </row>
    <row r="92" spans="1:7" x14ac:dyDescent="0.3">
      <c r="A92" s="7" t="s">
        <v>1618</v>
      </c>
      <c r="B92" s="5" t="s">
        <v>1619</v>
      </c>
      <c r="C92" s="5" t="s">
        <v>1608</v>
      </c>
      <c r="D92" s="30" t="s">
        <v>1500</v>
      </c>
      <c r="E92" t="str">
        <f t="shared" si="2"/>
        <v>No</v>
      </c>
      <c r="F92" s="25"/>
      <c r="G92" s="24" t="b">
        <f t="shared" si="3"/>
        <v>0</v>
      </c>
    </row>
    <row r="93" spans="1:7" x14ac:dyDescent="0.3">
      <c r="A93" s="7" t="s">
        <v>1620</v>
      </c>
      <c r="B93" s="5" t="s">
        <v>1621</v>
      </c>
      <c r="C93" s="5" t="s">
        <v>1608</v>
      </c>
      <c r="D93" s="30" t="s">
        <v>1622</v>
      </c>
      <c r="E93" t="str">
        <f t="shared" si="2"/>
        <v>No</v>
      </c>
      <c r="F93" s="25"/>
      <c r="G93" s="24" t="b">
        <f t="shared" si="3"/>
        <v>0</v>
      </c>
    </row>
    <row r="94" spans="1:7" x14ac:dyDescent="0.3">
      <c r="A94" s="7" t="s">
        <v>1623</v>
      </c>
      <c r="B94" s="5" t="s">
        <v>1624</v>
      </c>
      <c r="C94" s="5" t="s">
        <v>1108</v>
      </c>
      <c r="D94" s="30" t="s">
        <v>1456</v>
      </c>
      <c r="E94" t="str">
        <f t="shared" si="2"/>
        <v>No</v>
      </c>
      <c r="F94" s="25"/>
      <c r="G94" s="24" t="b">
        <f t="shared" si="3"/>
        <v>0</v>
      </c>
    </row>
    <row r="95" spans="1:7" x14ac:dyDescent="0.3">
      <c r="A95" s="7" t="s">
        <v>1625</v>
      </c>
      <c r="B95" s="5" t="s">
        <v>1626</v>
      </c>
      <c r="C95" s="5" t="s">
        <v>1627</v>
      </c>
      <c r="D95" s="30" t="s">
        <v>57</v>
      </c>
      <c r="E95" t="str">
        <f t="shared" si="2"/>
        <v>No</v>
      </c>
      <c r="F95" s="25"/>
      <c r="G95" s="24" t="b">
        <f t="shared" si="3"/>
        <v>0</v>
      </c>
    </row>
    <row r="96" spans="1:7" x14ac:dyDescent="0.3">
      <c r="A96" s="7" t="s">
        <v>1628</v>
      </c>
      <c r="B96" s="5" t="s">
        <v>1629</v>
      </c>
      <c r="C96" s="5" t="s">
        <v>1630</v>
      </c>
      <c r="D96" s="30" t="s">
        <v>57</v>
      </c>
      <c r="E96" t="str">
        <f t="shared" si="2"/>
        <v>No</v>
      </c>
      <c r="F96" s="25"/>
      <c r="G96" s="24" t="b">
        <f t="shared" si="3"/>
        <v>0</v>
      </c>
    </row>
    <row r="97" spans="1:7" x14ac:dyDescent="0.3">
      <c r="A97" s="7" t="s">
        <v>1631</v>
      </c>
      <c r="B97" s="5" t="s">
        <v>1632</v>
      </c>
      <c r="C97" s="5" t="s">
        <v>1633</v>
      </c>
      <c r="D97" s="30" t="s">
        <v>57</v>
      </c>
      <c r="E97" t="str">
        <f t="shared" si="2"/>
        <v>No</v>
      </c>
      <c r="F97" s="25"/>
      <c r="G97" s="24" t="b">
        <f t="shared" si="3"/>
        <v>0</v>
      </c>
    </row>
    <row r="98" spans="1:7" x14ac:dyDescent="0.3">
      <c r="A98" s="7" t="s">
        <v>1634</v>
      </c>
      <c r="B98" s="5" t="s">
        <v>1635</v>
      </c>
      <c r="C98" s="5" t="s">
        <v>1636</v>
      </c>
      <c r="D98" s="30" t="s">
        <v>57</v>
      </c>
      <c r="E98" t="str">
        <f t="shared" si="2"/>
        <v>No</v>
      </c>
      <c r="F98" s="25"/>
      <c r="G98" s="24" t="b">
        <f t="shared" si="3"/>
        <v>0</v>
      </c>
    </row>
    <row r="99" spans="1:7" x14ac:dyDescent="0.3">
      <c r="A99" s="7" t="s">
        <v>1637</v>
      </c>
      <c r="B99" s="5" t="s">
        <v>1638</v>
      </c>
      <c r="C99" s="5" t="s">
        <v>1639</v>
      </c>
      <c r="D99" s="30" t="s">
        <v>1549</v>
      </c>
      <c r="E99" t="str">
        <f t="shared" si="2"/>
        <v>No</v>
      </c>
      <c r="F99" s="25"/>
      <c r="G99" s="24" t="b">
        <f t="shared" si="3"/>
        <v>0</v>
      </c>
    </row>
    <row r="100" spans="1:7" x14ac:dyDescent="0.3">
      <c r="A100" s="7" t="s">
        <v>1640</v>
      </c>
      <c r="B100" s="5" t="s">
        <v>1641</v>
      </c>
      <c r="C100" s="5" t="s">
        <v>1639</v>
      </c>
      <c r="D100" s="30" t="s">
        <v>1552</v>
      </c>
      <c r="E100" t="str">
        <f t="shared" si="2"/>
        <v>No</v>
      </c>
      <c r="F100" s="25"/>
      <c r="G100" s="24" t="b">
        <f t="shared" si="3"/>
        <v>0</v>
      </c>
    </row>
    <row r="101" spans="1:7" x14ac:dyDescent="0.3">
      <c r="A101" s="7" t="s">
        <v>1642</v>
      </c>
      <c r="B101" s="5" t="s">
        <v>1643</v>
      </c>
      <c r="C101" s="5" t="s">
        <v>1404</v>
      </c>
      <c r="D101" s="30" t="s">
        <v>1644</v>
      </c>
      <c r="E101" t="str">
        <f t="shared" si="2"/>
        <v>No</v>
      </c>
      <c r="F101" s="25"/>
      <c r="G101" s="24" t="b">
        <f t="shared" si="3"/>
        <v>0</v>
      </c>
    </row>
    <row r="102" spans="1:7" x14ac:dyDescent="0.3">
      <c r="A102" s="7" t="s">
        <v>1645</v>
      </c>
      <c r="B102" s="5" t="s">
        <v>1646</v>
      </c>
      <c r="C102" s="5" t="s">
        <v>1404</v>
      </c>
      <c r="D102" s="30" t="s">
        <v>1644</v>
      </c>
      <c r="E102" t="str">
        <f t="shared" si="2"/>
        <v>No</v>
      </c>
      <c r="F102" s="25"/>
      <c r="G102" s="24" t="b">
        <f t="shared" si="3"/>
        <v>0</v>
      </c>
    </row>
    <row r="103" spans="1:7" x14ac:dyDescent="0.3">
      <c r="A103" s="7" t="s">
        <v>1647</v>
      </c>
      <c r="B103" s="5" t="s">
        <v>80</v>
      </c>
      <c r="C103" s="5" t="s">
        <v>1111</v>
      </c>
      <c r="D103" s="30" t="s">
        <v>1648</v>
      </c>
      <c r="E103" t="str">
        <f t="shared" si="2"/>
        <v>YES</v>
      </c>
      <c r="F103" s="25" t="b">
        <v>1</v>
      </c>
      <c r="G103" s="24" t="b">
        <f t="shared" si="3"/>
        <v>1</v>
      </c>
    </row>
    <row r="104" spans="1:7" x14ac:dyDescent="0.3">
      <c r="A104" s="7" t="s">
        <v>1649</v>
      </c>
      <c r="B104" s="5" t="s">
        <v>1650</v>
      </c>
      <c r="C104" s="5" t="s">
        <v>1651</v>
      </c>
      <c r="D104" s="30" t="s">
        <v>1652</v>
      </c>
      <c r="E104" t="str">
        <f t="shared" si="2"/>
        <v>No</v>
      </c>
      <c r="F104" s="25"/>
      <c r="G104" s="24" t="b">
        <f t="shared" si="3"/>
        <v>0</v>
      </c>
    </row>
    <row r="105" spans="1:7" x14ac:dyDescent="0.3">
      <c r="A105" s="7" t="s">
        <v>1653</v>
      </c>
      <c r="B105" s="5" t="s">
        <v>1654</v>
      </c>
      <c r="C105" s="5" t="s">
        <v>1523</v>
      </c>
      <c r="D105" s="30" t="s">
        <v>1527</v>
      </c>
      <c r="E105" t="str">
        <f t="shared" si="2"/>
        <v>No</v>
      </c>
      <c r="F105" s="25"/>
      <c r="G105" s="24" t="b">
        <f t="shared" si="3"/>
        <v>0</v>
      </c>
    </row>
    <row r="106" spans="1:7" x14ac:dyDescent="0.3">
      <c r="A106" s="7" t="s">
        <v>1655</v>
      </c>
      <c r="B106" s="5" t="s">
        <v>1656</v>
      </c>
      <c r="C106" s="5" t="s">
        <v>1523</v>
      </c>
      <c r="D106" s="30" t="s">
        <v>1527</v>
      </c>
      <c r="E106" t="str">
        <f t="shared" si="2"/>
        <v>No</v>
      </c>
      <c r="F106" s="25"/>
      <c r="G106" s="24" t="b">
        <f t="shared" si="3"/>
        <v>0</v>
      </c>
    </row>
    <row r="107" spans="1:7" x14ac:dyDescent="0.3">
      <c r="A107" s="7" t="s">
        <v>1657</v>
      </c>
      <c r="B107" s="5" t="s">
        <v>1658</v>
      </c>
      <c r="C107" s="5" t="s">
        <v>1523</v>
      </c>
      <c r="D107" s="30" t="s">
        <v>1527</v>
      </c>
      <c r="E107" t="str">
        <f t="shared" si="2"/>
        <v>No</v>
      </c>
      <c r="F107" s="25"/>
      <c r="G107" s="24" t="b">
        <f t="shared" si="3"/>
        <v>0</v>
      </c>
    </row>
    <row r="108" spans="1:7" x14ac:dyDescent="0.3">
      <c r="A108" s="7" t="s">
        <v>1659</v>
      </c>
      <c r="B108" s="5" t="s">
        <v>1660</v>
      </c>
      <c r="C108" s="5" t="s">
        <v>1451</v>
      </c>
      <c r="D108" s="30" t="s">
        <v>1540</v>
      </c>
      <c r="E108" t="str">
        <f t="shared" si="2"/>
        <v>No</v>
      </c>
      <c r="F108" s="25"/>
      <c r="G108" s="24" t="b">
        <f t="shared" si="3"/>
        <v>0</v>
      </c>
    </row>
    <row r="109" spans="1:7" x14ac:dyDescent="0.3">
      <c r="A109" s="7" t="s">
        <v>1661</v>
      </c>
      <c r="B109" s="5" t="s">
        <v>769</v>
      </c>
      <c r="C109" s="5" t="s">
        <v>1451</v>
      </c>
      <c r="D109" s="30" t="s">
        <v>1662</v>
      </c>
      <c r="E109" t="str">
        <f t="shared" si="2"/>
        <v>YES</v>
      </c>
      <c r="F109" s="25" t="b">
        <v>1</v>
      </c>
      <c r="G109" s="24" t="b">
        <f t="shared" si="3"/>
        <v>1</v>
      </c>
    </row>
    <row r="110" spans="1:7" x14ac:dyDescent="0.3">
      <c r="A110" s="7" t="s">
        <v>1663</v>
      </c>
      <c r="B110" s="5" t="s">
        <v>1664</v>
      </c>
      <c r="C110" s="5" t="s">
        <v>1108</v>
      </c>
      <c r="D110" s="30" t="s">
        <v>1665</v>
      </c>
      <c r="E110" t="str">
        <f t="shared" si="2"/>
        <v>No</v>
      </c>
      <c r="F110" s="25"/>
      <c r="G110" s="24" t="b">
        <f t="shared" si="3"/>
        <v>0</v>
      </c>
    </row>
    <row r="111" spans="1:7" x14ac:dyDescent="0.3">
      <c r="A111" s="7" t="s">
        <v>1666</v>
      </c>
      <c r="B111" s="5" t="s">
        <v>1667</v>
      </c>
      <c r="C111" s="5" t="s">
        <v>1108</v>
      </c>
      <c r="D111" s="30" t="s">
        <v>1543</v>
      </c>
      <c r="E111" t="str">
        <f t="shared" si="2"/>
        <v>No</v>
      </c>
      <c r="F111" s="25"/>
      <c r="G111" s="24" t="b">
        <f t="shared" si="3"/>
        <v>0</v>
      </c>
    </row>
    <row r="112" spans="1:7" x14ac:dyDescent="0.3">
      <c r="A112" s="7" t="s">
        <v>1668</v>
      </c>
      <c r="B112" s="5" t="s">
        <v>1669</v>
      </c>
      <c r="C112" s="5" t="s">
        <v>1108</v>
      </c>
      <c r="D112" s="30" t="s">
        <v>1543</v>
      </c>
      <c r="E112" t="str">
        <f t="shared" si="2"/>
        <v>No</v>
      </c>
      <c r="F112" s="25"/>
      <c r="G112" s="24" t="b">
        <f t="shared" si="3"/>
        <v>0</v>
      </c>
    </row>
    <row r="113" spans="1:7" x14ac:dyDescent="0.3">
      <c r="A113" s="7" t="s">
        <v>1670</v>
      </c>
      <c r="B113" s="5" t="s">
        <v>1671</v>
      </c>
      <c r="C113" s="5" t="s">
        <v>1102</v>
      </c>
      <c r="D113" s="30" t="s">
        <v>1462</v>
      </c>
      <c r="E113" t="str">
        <f t="shared" si="2"/>
        <v>No</v>
      </c>
      <c r="F113" s="25"/>
      <c r="G113" s="24" t="b">
        <f t="shared" si="3"/>
        <v>0</v>
      </c>
    </row>
    <row r="114" spans="1:7" x14ac:dyDescent="0.3">
      <c r="A114" s="7" t="s">
        <v>1672</v>
      </c>
      <c r="B114" s="5" t="s">
        <v>1072</v>
      </c>
      <c r="C114" s="5" t="s">
        <v>1102</v>
      </c>
      <c r="D114" s="30" t="s">
        <v>1673</v>
      </c>
      <c r="E114" t="str">
        <f t="shared" si="2"/>
        <v>No</v>
      </c>
      <c r="F114" s="25"/>
      <c r="G114" s="24" t="b">
        <f t="shared" si="3"/>
        <v>0</v>
      </c>
    </row>
    <row r="115" spans="1:7" x14ac:dyDescent="0.3">
      <c r="A115" s="7" t="s">
        <v>1674</v>
      </c>
      <c r="B115" s="5" t="s">
        <v>1675</v>
      </c>
      <c r="C115" s="5" t="s">
        <v>1102</v>
      </c>
      <c r="D115" s="30" t="s">
        <v>1519</v>
      </c>
      <c r="E115" t="str">
        <f t="shared" si="2"/>
        <v>No</v>
      </c>
      <c r="F115" s="25"/>
      <c r="G115" s="24" t="b">
        <f t="shared" si="3"/>
        <v>0</v>
      </c>
    </row>
    <row r="116" spans="1:7" x14ac:dyDescent="0.3">
      <c r="A116" s="7" t="s">
        <v>1676</v>
      </c>
      <c r="B116" s="5" t="s">
        <v>1677</v>
      </c>
      <c r="C116" s="5" t="s">
        <v>1102</v>
      </c>
      <c r="D116" s="30" t="s">
        <v>1519</v>
      </c>
      <c r="E116" t="str">
        <f t="shared" si="2"/>
        <v>No</v>
      </c>
      <c r="F116" s="25"/>
      <c r="G116" s="24" t="b">
        <f t="shared" si="3"/>
        <v>0</v>
      </c>
    </row>
    <row r="117" spans="1:7" x14ac:dyDescent="0.3">
      <c r="A117" s="7" t="s">
        <v>1678</v>
      </c>
      <c r="B117" s="5" t="s">
        <v>1679</v>
      </c>
      <c r="C117" s="5" t="s">
        <v>1102</v>
      </c>
      <c r="D117" s="30" t="s">
        <v>1519</v>
      </c>
      <c r="E117" t="str">
        <f t="shared" si="2"/>
        <v>No</v>
      </c>
      <c r="F117" s="25"/>
      <c r="G117" s="24" t="b">
        <f t="shared" si="3"/>
        <v>0</v>
      </c>
    </row>
    <row r="118" spans="1:7" x14ac:dyDescent="0.3">
      <c r="A118" s="7" t="s">
        <v>1680</v>
      </c>
      <c r="B118" s="5" t="s">
        <v>1681</v>
      </c>
      <c r="C118" s="5" t="s">
        <v>1436</v>
      </c>
      <c r="D118" s="30" t="s">
        <v>1437</v>
      </c>
      <c r="E118" t="str">
        <f t="shared" si="2"/>
        <v>No</v>
      </c>
      <c r="F118" s="25"/>
      <c r="G118" s="24" t="b">
        <f t="shared" si="3"/>
        <v>0</v>
      </c>
    </row>
    <row r="119" spans="1:7" x14ac:dyDescent="0.3">
      <c r="A119" s="7" t="s">
        <v>1682</v>
      </c>
      <c r="B119" s="5" t="s">
        <v>1683</v>
      </c>
      <c r="C119" s="5" t="s">
        <v>1442</v>
      </c>
      <c r="D119" s="30" t="s">
        <v>1443</v>
      </c>
      <c r="E119" t="str">
        <f t="shared" si="2"/>
        <v>No</v>
      </c>
      <c r="F119" s="25"/>
      <c r="G119" s="24" t="b">
        <f t="shared" si="3"/>
        <v>0</v>
      </c>
    </row>
    <row r="120" spans="1:7" x14ac:dyDescent="0.3">
      <c r="A120" s="7" t="s">
        <v>1684</v>
      </c>
      <c r="B120" s="5" t="s">
        <v>1685</v>
      </c>
      <c r="C120" s="5" t="s">
        <v>1436</v>
      </c>
      <c r="D120" s="30" t="s">
        <v>1437</v>
      </c>
      <c r="E120" t="str">
        <f t="shared" si="2"/>
        <v>No</v>
      </c>
      <c r="F120" s="25"/>
      <c r="G120" s="24" t="b">
        <f t="shared" si="3"/>
        <v>0</v>
      </c>
    </row>
    <row r="121" spans="1:7" x14ac:dyDescent="0.3">
      <c r="A121" s="7" t="s">
        <v>1686</v>
      </c>
      <c r="B121" s="5" t="s">
        <v>1687</v>
      </c>
      <c r="C121" s="5" t="s">
        <v>1442</v>
      </c>
      <c r="D121" s="30" t="s">
        <v>1443</v>
      </c>
      <c r="E121" t="str">
        <f t="shared" si="2"/>
        <v>No</v>
      </c>
      <c r="F121" s="25"/>
      <c r="G121" s="24" t="b">
        <f t="shared" si="3"/>
        <v>0</v>
      </c>
    </row>
    <row r="122" spans="1:7" x14ac:dyDescent="0.3">
      <c r="A122" s="7" t="s">
        <v>1688</v>
      </c>
      <c r="B122" s="5" t="s">
        <v>1689</v>
      </c>
      <c r="C122" s="5" t="s">
        <v>1102</v>
      </c>
      <c r="D122" s="30" t="s">
        <v>1690</v>
      </c>
      <c r="E122" t="str">
        <f t="shared" si="2"/>
        <v>No</v>
      </c>
      <c r="F122" s="25"/>
      <c r="G122" s="24" t="b">
        <f t="shared" si="3"/>
        <v>0</v>
      </c>
    </row>
    <row r="123" spans="1:7" x14ac:dyDescent="0.3">
      <c r="A123" s="7" t="s">
        <v>1691</v>
      </c>
      <c r="B123" s="5" t="s">
        <v>1692</v>
      </c>
      <c r="C123" s="5" t="s">
        <v>1102</v>
      </c>
      <c r="D123" s="30" t="s">
        <v>1693</v>
      </c>
      <c r="E123" t="str">
        <f t="shared" si="2"/>
        <v>No</v>
      </c>
      <c r="F123" s="25"/>
      <c r="G123" s="24" t="b">
        <f t="shared" si="3"/>
        <v>0</v>
      </c>
    </row>
    <row r="124" spans="1:7" x14ac:dyDescent="0.3">
      <c r="A124" s="7" t="s">
        <v>1694</v>
      </c>
      <c r="B124" s="5" t="s">
        <v>1695</v>
      </c>
      <c r="C124" s="5" t="s">
        <v>1102</v>
      </c>
      <c r="D124" s="30" t="s">
        <v>1581</v>
      </c>
      <c r="E124" t="str">
        <f t="shared" si="2"/>
        <v>No</v>
      </c>
      <c r="F124" s="25"/>
      <c r="G124" s="24" t="b">
        <f t="shared" si="3"/>
        <v>0</v>
      </c>
    </row>
    <row r="125" spans="1:7" x14ac:dyDescent="0.3">
      <c r="A125" s="7" t="s">
        <v>1696</v>
      </c>
      <c r="B125" s="5" t="s">
        <v>1697</v>
      </c>
      <c r="C125" s="5" t="s">
        <v>1102</v>
      </c>
      <c r="D125" s="30" t="s">
        <v>1581</v>
      </c>
      <c r="E125" t="str">
        <f t="shared" si="2"/>
        <v>No</v>
      </c>
      <c r="F125" s="25"/>
      <c r="G125" s="24" t="b">
        <f t="shared" si="3"/>
        <v>0</v>
      </c>
    </row>
    <row r="126" spans="1:7" x14ac:dyDescent="0.3">
      <c r="A126" s="7" t="s">
        <v>1698</v>
      </c>
      <c r="B126" s="5" t="s">
        <v>1699</v>
      </c>
      <c r="C126" s="5" t="s">
        <v>1100</v>
      </c>
      <c r="D126" s="30" t="s">
        <v>1502</v>
      </c>
      <c r="E126" t="str">
        <f t="shared" si="2"/>
        <v>No</v>
      </c>
      <c r="F126" s="25"/>
      <c r="G126" s="24" t="b">
        <f t="shared" si="3"/>
        <v>0</v>
      </c>
    </row>
    <row r="127" spans="1:7" x14ac:dyDescent="0.3">
      <c r="A127" s="7" t="s">
        <v>1700</v>
      </c>
      <c r="B127" s="5" t="s">
        <v>1053</v>
      </c>
      <c r="C127" s="5" t="s">
        <v>1100</v>
      </c>
      <c r="D127" s="30" t="s">
        <v>1504</v>
      </c>
      <c r="E127" t="str">
        <f t="shared" si="2"/>
        <v>No</v>
      </c>
      <c r="F127" s="25"/>
      <c r="G127" s="24" t="b">
        <f t="shared" si="3"/>
        <v>0</v>
      </c>
    </row>
    <row r="128" spans="1:7" x14ac:dyDescent="0.3">
      <c r="A128" s="7" t="s">
        <v>1701</v>
      </c>
      <c r="B128" s="5" t="s">
        <v>1702</v>
      </c>
      <c r="C128" s="5" t="s">
        <v>1100</v>
      </c>
      <c r="D128" s="30" t="s">
        <v>1504</v>
      </c>
      <c r="E128" t="str">
        <f t="shared" si="2"/>
        <v>No</v>
      </c>
      <c r="F128" s="25"/>
      <c r="G128" s="24" t="b">
        <f t="shared" si="3"/>
        <v>0</v>
      </c>
    </row>
    <row r="129" spans="1:7" x14ac:dyDescent="0.3">
      <c r="A129" s="7" t="s">
        <v>1703</v>
      </c>
      <c r="B129" s="5" t="s">
        <v>1704</v>
      </c>
      <c r="C129" s="5" t="s">
        <v>1536</v>
      </c>
      <c r="D129" s="30" t="s">
        <v>1534</v>
      </c>
      <c r="E129" t="str">
        <f t="shared" si="2"/>
        <v>No</v>
      </c>
      <c r="F129" s="25"/>
      <c r="G129" s="24" t="b">
        <f t="shared" si="3"/>
        <v>0</v>
      </c>
    </row>
    <row r="130" spans="1:7" x14ac:dyDescent="0.3">
      <c r="A130" s="7" t="s">
        <v>1705</v>
      </c>
      <c r="B130" s="5" t="s">
        <v>1706</v>
      </c>
      <c r="C130" s="5" t="s">
        <v>1536</v>
      </c>
      <c r="D130" s="30" t="s">
        <v>1537</v>
      </c>
      <c r="E130" t="str">
        <f t="shared" ref="E130:E193" si="4">IF(F130, "YES", "No")</f>
        <v>No</v>
      </c>
      <c r="F130" s="25"/>
      <c r="G130" s="24" t="b">
        <f t="shared" ref="G130:G193" si="5">IF(COUNTIF($J$3:$J$100, B130) &gt; 0, TRUE, FALSE)</f>
        <v>0</v>
      </c>
    </row>
    <row r="131" spans="1:7" x14ac:dyDescent="0.3">
      <c r="A131" s="7" t="s">
        <v>1707</v>
      </c>
      <c r="B131" s="5" t="s">
        <v>1708</v>
      </c>
      <c r="C131" s="5" t="s">
        <v>1436</v>
      </c>
      <c r="D131" s="30" t="s">
        <v>1437</v>
      </c>
      <c r="E131" t="str">
        <f t="shared" si="4"/>
        <v>No</v>
      </c>
      <c r="F131" s="25"/>
      <c r="G131" s="24" t="b">
        <f t="shared" si="5"/>
        <v>0</v>
      </c>
    </row>
    <row r="132" spans="1:7" x14ac:dyDescent="0.3">
      <c r="A132" s="7" t="s">
        <v>1709</v>
      </c>
      <c r="B132" s="5" t="s">
        <v>1710</v>
      </c>
      <c r="C132" s="5" t="s">
        <v>1404</v>
      </c>
      <c r="D132" s="30" t="s">
        <v>1711</v>
      </c>
      <c r="E132" t="str">
        <f t="shared" si="4"/>
        <v>No</v>
      </c>
      <c r="F132" s="25"/>
      <c r="G132" s="24" t="b">
        <f t="shared" si="5"/>
        <v>0</v>
      </c>
    </row>
    <row r="133" spans="1:7" x14ac:dyDescent="0.3">
      <c r="A133" s="7" t="s">
        <v>1712</v>
      </c>
      <c r="B133" s="5" t="s">
        <v>1713</v>
      </c>
      <c r="C133" s="5" t="s">
        <v>1404</v>
      </c>
      <c r="D133" s="30" t="s">
        <v>1711</v>
      </c>
      <c r="E133" t="str">
        <f t="shared" si="4"/>
        <v>No</v>
      </c>
      <c r="F133" s="25"/>
      <c r="G133" s="24" t="b">
        <f t="shared" si="5"/>
        <v>0</v>
      </c>
    </row>
    <row r="134" spans="1:7" x14ac:dyDescent="0.3">
      <c r="A134" s="7" t="s">
        <v>1714</v>
      </c>
      <c r="B134" s="5" t="s">
        <v>1715</v>
      </c>
      <c r="C134" s="5" t="s">
        <v>1716</v>
      </c>
      <c r="D134" s="30" t="s">
        <v>1540</v>
      </c>
      <c r="E134" t="str">
        <f t="shared" si="4"/>
        <v>No</v>
      </c>
      <c r="F134" s="25"/>
      <c r="G134" s="24" t="b">
        <f t="shared" si="5"/>
        <v>0</v>
      </c>
    </row>
    <row r="135" spans="1:7" x14ac:dyDescent="0.3">
      <c r="A135" s="7" t="s">
        <v>1717</v>
      </c>
      <c r="B135" s="5" t="s">
        <v>1718</v>
      </c>
      <c r="C135" s="5" t="s">
        <v>1577</v>
      </c>
      <c r="D135" s="30" t="s">
        <v>1578</v>
      </c>
      <c r="E135" t="str">
        <f t="shared" si="4"/>
        <v>No</v>
      </c>
      <c r="F135" s="25"/>
      <c r="G135" s="24" t="b">
        <f t="shared" si="5"/>
        <v>0</v>
      </c>
    </row>
    <row r="136" spans="1:7" x14ac:dyDescent="0.3">
      <c r="A136" s="7" t="s">
        <v>1719</v>
      </c>
      <c r="B136" s="5" t="s">
        <v>1720</v>
      </c>
      <c r="C136" s="5" t="s">
        <v>1721</v>
      </c>
      <c r="D136" s="30" t="s">
        <v>57</v>
      </c>
      <c r="E136" t="str">
        <f t="shared" si="4"/>
        <v>No</v>
      </c>
      <c r="F136" s="25"/>
      <c r="G136" s="24" t="b">
        <f t="shared" si="5"/>
        <v>0</v>
      </c>
    </row>
    <row r="137" spans="1:7" x14ac:dyDescent="0.3">
      <c r="A137" s="7" t="s">
        <v>1722</v>
      </c>
      <c r="B137" s="5" t="s">
        <v>1723</v>
      </c>
      <c r="C137" s="5" t="s">
        <v>1523</v>
      </c>
      <c r="D137" s="30" t="s">
        <v>1524</v>
      </c>
      <c r="E137" t="str">
        <f t="shared" si="4"/>
        <v>No</v>
      </c>
      <c r="F137" s="25"/>
      <c r="G137" s="24" t="b">
        <f t="shared" si="5"/>
        <v>0</v>
      </c>
    </row>
    <row r="138" spans="1:7" x14ac:dyDescent="0.3">
      <c r="A138" s="7" t="s">
        <v>1724</v>
      </c>
      <c r="B138" s="5" t="s">
        <v>1725</v>
      </c>
      <c r="C138" s="5" t="s">
        <v>1587</v>
      </c>
      <c r="D138" s="30" t="s">
        <v>1414</v>
      </c>
      <c r="E138" t="str">
        <f t="shared" si="4"/>
        <v>No</v>
      </c>
      <c r="F138" s="25"/>
      <c r="G138" s="24" t="b">
        <f t="shared" si="5"/>
        <v>0</v>
      </c>
    </row>
    <row r="139" spans="1:7" x14ac:dyDescent="0.3">
      <c r="A139" s="7" t="s">
        <v>1726</v>
      </c>
      <c r="B139" s="5" t="s">
        <v>1727</v>
      </c>
      <c r="C139" s="5" t="s">
        <v>1728</v>
      </c>
      <c r="D139" s="30" t="s">
        <v>1595</v>
      </c>
      <c r="E139" t="str">
        <f t="shared" si="4"/>
        <v>No</v>
      </c>
      <c r="F139" s="25"/>
      <c r="G139" s="24" t="b">
        <f t="shared" si="5"/>
        <v>0</v>
      </c>
    </row>
    <row r="140" spans="1:7" x14ac:dyDescent="0.3">
      <c r="A140" s="7" t="s">
        <v>1729</v>
      </c>
      <c r="B140" s="5" t="s">
        <v>1730</v>
      </c>
      <c r="C140" s="5" t="s">
        <v>1728</v>
      </c>
      <c r="D140" s="30" t="s">
        <v>1595</v>
      </c>
      <c r="E140" t="str">
        <f t="shared" si="4"/>
        <v>No</v>
      </c>
      <c r="F140" s="25"/>
      <c r="G140" s="24" t="b">
        <f t="shared" si="5"/>
        <v>0</v>
      </c>
    </row>
    <row r="141" spans="1:7" x14ac:dyDescent="0.3">
      <c r="A141" s="7" t="s">
        <v>1731</v>
      </c>
      <c r="B141" s="5" t="s">
        <v>165</v>
      </c>
      <c r="C141" s="5" t="s">
        <v>1104</v>
      </c>
      <c r="D141" s="30" t="s">
        <v>1732</v>
      </c>
      <c r="E141" t="str">
        <f t="shared" si="4"/>
        <v>No</v>
      </c>
      <c r="F141" s="25"/>
      <c r="G141" s="24" t="b">
        <f t="shared" si="5"/>
        <v>0</v>
      </c>
    </row>
    <row r="142" spans="1:7" x14ac:dyDescent="0.3">
      <c r="A142" s="7" t="s">
        <v>1733</v>
      </c>
      <c r="B142" s="5" t="s">
        <v>1734</v>
      </c>
      <c r="C142" s="5" t="s">
        <v>1735</v>
      </c>
      <c r="D142" s="30" t="s">
        <v>1736</v>
      </c>
      <c r="E142" t="str">
        <f t="shared" si="4"/>
        <v>No</v>
      </c>
      <c r="F142" s="25"/>
      <c r="G142" s="24" t="b">
        <f t="shared" si="5"/>
        <v>0</v>
      </c>
    </row>
    <row r="143" spans="1:7" x14ac:dyDescent="0.3">
      <c r="A143" s="7" t="s">
        <v>1737</v>
      </c>
      <c r="B143" s="5" t="s">
        <v>1738</v>
      </c>
      <c r="C143" s="5" t="s">
        <v>1735</v>
      </c>
      <c r="D143" s="30" t="s">
        <v>1736</v>
      </c>
      <c r="E143" t="str">
        <f t="shared" si="4"/>
        <v>No</v>
      </c>
      <c r="F143" s="25"/>
      <c r="G143" s="24" t="b">
        <f t="shared" si="5"/>
        <v>0</v>
      </c>
    </row>
    <row r="144" spans="1:7" x14ac:dyDescent="0.3">
      <c r="A144" s="7" t="s">
        <v>1739</v>
      </c>
      <c r="B144" s="5" t="s">
        <v>1740</v>
      </c>
      <c r="C144" s="5" t="s">
        <v>1741</v>
      </c>
      <c r="D144" s="30" t="s">
        <v>1549</v>
      </c>
      <c r="E144" t="str">
        <f t="shared" si="4"/>
        <v>No</v>
      </c>
      <c r="F144" s="25"/>
      <c r="G144" s="24" t="b">
        <f t="shared" si="5"/>
        <v>0</v>
      </c>
    </row>
    <row r="145" spans="1:7" x14ac:dyDescent="0.3">
      <c r="A145" s="7" t="s">
        <v>1742</v>
      </c>
      <c r="B145" s="5" t="s">
        <v>1743</v>
      </c>
      <c r="C145" s="5" t="s">
        <v>1741</v>
      </c>
      <c r="D145" s="30" t="s">
        <v>1552</v>
      </c>
      <c r="E145" t="str">
        <f t="shared" si="4"/>
        <v>No</v>
      </c>
      <c r="F145" s="25"/>
      <c r="G145" s="24" t="b">
        <f t="shared" si="5"/>
        <v>0</v>
      </c>
    </row>
    <row r="146" spans="1:7" x14ac:dyDescent="0.3">
      <c r="A146" s="7" t="s">
        <v>1744</v>
      </c>
      <c r="B146" s="5" t="s">
        <v>1745</v>
      </c>
      <c r="C146" s="5" t="s">
        <v>1523</v>
      </c>
      <c r="D146" s="30" t="s">
        <v>1746</v>
      </c>
      <c r="E146" t="str">
        <f t="shared" si="4"/>
        <v>No</v>
      </c>
      <c r="F146" s="25"/>
      <c r="G146" s="24" t="b">
        <f t="shared" si="5"/>
        <v>0</v>
      </c>
    </row>
    <row r="147" spans="1:7" x14ac:dyDescent="0.3">
      <c r="A147" s="7" t="s">
        <v>1747</v>
      </c>
      <c r="B147" s="5" t="s">
        <v>1660</v>
      </c>
      <c r="C147" s="5" t="s">
        <v>1451</v>
      </c>
      <c r="D147" s="30" t="s">
        <v>1540</v>
      </c>
      <c r="E147" t="str">
        <f t="shared" si="4"/>
        <v>No</v>
      </c>
      <c r="F147" s="25"/>
      <c r="G147" s="24" t="b">
        <f t="shared" si="5"/>
        <v>0</v>
      </c>
    </row>
    <row r="148" spans="1:7" x14ac:dyDescent="0.3">
      <c r="A148" s="7" t="s">
        <v>1748</v>
      </c>
      <c r="B148" s="5" t="s">
        <v>1749</v>
      </c>
      <c r="C148" s="5" t="s">
        <v>1108</v>
      </c>
      <c r="D148" s="30" t="s">
        <v>1750</v>
      </c>
      <c r="E148" t="str">
        <f t="shared" si="4"/>
        <v>No</v>
      </c>
      <c r="F148" s="25"/>
      <c r="G148" s="24" t="b">
        <f t="shared" si="5"/>
        <v>0</v>
      </c>
    </row>
    <row r="149" spans="1:7" x14ac:dyDescent="0.3">
      <c r="A149" s="7" t="s">
        <v>1751</v>
      </c>
      <c r="B149" s="5" t="s">
        <v>1752</v>
      </c>
      <c r="C149" s="5" t="s">
        <v>1442</v>
      </c>
      <c r="D149" s="30" t="s">
        <v>1753</v>
      </c>
      <c r="E149" t="str">
        <f t="shared" si="4"/>
        <v>No</v>
      </c>
      <c r="F149" s="25"/>
      <c r="G149" s="24" t="b">
        <f t="shared" si="5"/>
        <v>0</v>
      </c>
    </row>
    <row r="150" spans="1:7" x14ac:dyDescent="0.3">
      <c r="A150" s="7" t="s">
        <v>1754</v>
      </c>
      <c r="B150" s="5" t="s">
        <v>1755</v>
      </c>
      <c r="C150" s="5" t="s">
        <v>1442</v>
      </c>
      <c r="D150" s="30" t="s">
        <v>1443</v>
      </c>
      <c r="E150" t="str">
        <f t="shared" si="4"/>
        <v>No</v>
      </c>
      <c r="F150" s="25"/>
      <c r="G150" s="24" t="b">
        <f t="shared" si="5"/>
        <v>0</v>
      </c>
    </row>
    <row r="151" spans="1:7" x14ac:dyDescent="0.3">
      <c r="A151" s="7" t="s">
        <v>1756</v>
      </c>
      <c r="B151" s="5" t="s">
        <v>1757</v>
      </c>
      <c r="C151" s="5" t="s">
        <v>1442</v>
      </c>
      <c r="D151" s="30" t="s">
        <v>1753</v>
      </c>
      <c r="E151" t="str">
        <f t="shared" si="4"/>
        <v>No</v>
      </c>
      <c r="F151" s="25"/>
      <c r="G151" s="24" t="b">
        <f t="shared" si="5"/>
        <v>0</v>
      </c>
    </row>
    <row r="152" spans="1:7" x14ac:dyDescent="0.3">
      <c r="A152" s="7" t="s">
        <v>1758</v>
      </c>
      <c r="B152" s="5" t="s">
        <v>1681</v>
      </c>
      <c r="C152" s="5" t="s">
        <v>1436</v>
      </c>
      <c r="D152" s="30" t="s">
        <v>1437</v>
      </c>
      <c r="E152" t="str">
        <f t="shared" si="4"/>
        <v>No</v>
      </c>
      <c r="F152" s="25"/>
      <c r="G152" s="24" t="b">
        <f t="shared" si="5"/>
        <v>0</v>
      </c>
    </row>
    <row r="153" spans="1:7" x14ac:dyDescent="0.3">
      <c r="A153" s="7" t="s">
        <v>1759</v>
      </c>
      <c r="B153" s="5" t="s">
        <v>1685</v>
      </c>
      <c r="C153" s="5" t="s">
        <v>1436</v>
      </c>
      <c r="D153" s="30" t="s">
        <v>1437</v>
      </c>
      <c r="E153" t="str">
        <f t="shared" si="4"/>
        <v>No</v>
      </c>
      <c r="F153" s="25"/>
      <c r="G153" s="24" t="b">
        <f t="shared" si="5"/>
        <v>0</v>
      </c>
    </row>
    <row r="154" spans="1:7" x14ac:dyDescent="0.3">
      <c r="A154" s="6" t="s">
        <v>1760</v>
      </c>
      <c r="B154" s="4" t="s">
        <v>1687</v>
      </c>
      <c r="C154" s="4" t="s">
        <v>1442</v>
      </c>
      <c r="D154" s="29" t="s">
        <v>1443</v>
      </c>
      <c r="E154" t="str">
        <f t="shared" si="4"/>
        <v>No</v>
      </c>
      <c r="F154" s="25"/>
      <c r="G154" s="24" t="b">
        <f t="shared" si="5"/>
        <v>0</v>
      </c>
    </row>
    <row r="155" spans="1:7" x14ac:dyDescent="0.3">
      <c r="A155" s="6" t="s">
        <v>1761</v>
      </c>
      <c r="B155" s="4" t="s">
        <v>1391</v>
      </c>
      <c r="C155" s="4" t="s">
        <v>1612</v>
      </c>
      <c r="D155" s="29" t="s">
        <v>1762</v>
      </c>
      <c r="E155" t="str">
        <f t="shared" si="4"/>
        <v>YES</v>
      </c>
      <c r="F155" s="25" t="b">
        <v>1</v>
      </c>
      <c r="G155" s="24" t="b">
        <f t="shared" si="5"/>
        <v>1</v>
      </c>
    </row>
    <row r="156" spans="1:7" x14ac:dyDescent="0.3">
      <c r="A156" s="6" t="s">
        <v>1763</v>
      </c>
      <c r="B156" s="4" t="s">
        <v>1764</v>
      </c>
      <c r="C156" s="4" t="s">
        <v>1612</v>
      </c>
      <c r="D156" s="29" t="s">
        <v>1765</v>
      </c>
      <c r="E156" t="str">
        <f t="shared" si="4"/>
        <v>No</v>
      </c>
      <c r="F156" s="25"/>
      <c r="G156" s="24" t="b">
        <f t="shared" si="5"/>
        <v>0</v>
      </c>
    </row>
    <row r="157" spans="1:7" x14ac:dyDescent="0.3">
      <c r="A157" s="6" t="s">
        <v>1766</v>
      </c>
      <c r="B157" s="4" t="s">
        <v>1767</v>
      </c>
      <c r="C157" s="4" t="s">
        <v>1612</v>
      </c>
      <c r="D157" s="29" t="s">
        <v>1765</v>
      </c>
      <c r="E157" t="str">
        <f t="shared" si="4"/>
        <v>No</v>
      </c>
      <c r="F157" s="25"/>
      <c r="G157" s="24" t="b">
        <f t="shared" si="5"/>
        <v>0</v>
      </c>
    </row>
    <row r="158" spans="1:7" x14ac:dyDescent="0.3">
      <c r="A158" s="6" t="s">
        <v>1768</v>
      </c>
      <c r="B158" s="4" t="s">
        <v>1769</v>
      </c>
      <c r="C158" s="4" t="s">
        <v>1770</v>
      </c>
      <c r="D158" s="29" t="s">
        <v>1771</v>
      </c>
      <c r="E158" t="str">
        <f t="shared" si="4"/>
        <v>No</v>
      </c>
      <c r="F158" s="25"/>
      <c r="G158" s="24" t="b">
        <f t="shared" si="5"/>
        <v>0</v>
      </c>
    </row>
    <row r="159" spans="1:7" x14ac:dyDescent="0.3">
      <c r="A159" s="6" t="s">
        <v>1772</v>
      </c>
      <c r="B159" s="4" t="s">
        <v>1401</v>
      </c>
      <c r="C159" s="4" t="s">
        <v>1773</v>
      </c>
      <c r="D159" s="29" t="s">
        <v>1673</v>
      </c>
      <c r="E159" t="str">
        <f t="shared" si="4"/>
        <v>YES</v>
      </c>
      <c r="F159" s="25" t="b">
        <v>1</v>
      </c>
      <c r="G159" s="24" t="b">
        <f t="shared" si="5"/>
        <v>1</v>
      </c>
    </row>
    <row r="160" spans="1:7" x14ac:dyDescent="0.3">
      <c r="A160" s="6" t="s">
        <v>1774</v>
      </c>
      <c r="B160" s="4" t="s">
        <v>1775</v>
      </c>
      <c r="C160" s="4" t="s">
        <v>1773</v>
      </c>
      <c r="D160" s="29" t="s">
        <v>1776</v>
      </c>
      <c r="E160" t="str">
        <f t="shared" si="4"/>
        <v>No</v>
      </c>
      <c r="F160" s="25"/>
      <c r="G160" s="24" t="b">
        <f t="shared" si="5"/>
        <v>0</v>
      </c>
    </row>
    <row r="161" spans="1:7" x14ac:dyDescent="0.3">
      <c r="A161" s="6" t="s">
        <v>1777</v>
      </c>
      <c r="B161" s="4" t="s">
        <v>1778</v>
      </c>
      <c r="C161" s="4" t="s">
        <v>1779</v>
      </c>
      <c r="D161" s="29" t="s">
        <v>1780</v>
      </c>
      <c r="E161" t="str">
        <f t="shared" si="4"/>
        <v>No</v>
      </c>
      <c r="F161" s="25"/>
      <c r="G161" s="24" t="b">
        <f t="shared" si="5"/>
        <v>0</v>
      </c>
    </row>
    <row r="162" spans="1:7" x14ac:dyDescent="0.3">
      <c r="A162" s="6" t="s">
        <v>1781</v>
      </c>
      <c r="B162" s="4" t="s">
        <v>1782</v>
      </c>
      <c r="C162" s="4" t="s">
        <v>1587</v>
      </c>
      <c r="D162" s="29" t="s">
        <v>1783</v>
      </c>
      <c r="E162" t="str">
        <f t="shared" si="4"/>
        <v>No</v>
      </c>
      <c r="F162" s="25"/>
      <c r="G162" s="24" t="b">
        <f t="shared" si="5"/>
        <v>0</v>
      </c>
    </row>
    <row r="163" spans="1:7" x14ac:dyDescent="0.3">
      <c r="A163" s="6" t="s">
        <v>1784</v>
      </c>
      <c r="B163" s="4" t="s">
        <v>1785</v>
      </c>
      <c r="C163" s="4" t="s">
        <v>1786</v>
      </c>
      <c r="D163" s="29" t="s">
        <v>1787</v>
      </c>
      <c r="E163" t="str">
        <f t="shared" si="4"/>
        <v>No</v>
      </c>
      <c r="F163" s="25"/>
      <c r="G163" s="24" t="b">
        <f t="shared" si="5"/>
        <v>0</v>
      </c>
    </row>
    <row r="164" spans="1:7" x14ac:dyDescent="0.3">
      <c r="A164" s="6" t="s">
        <v>1788</v>
      </c>
      <c r="B164" s="4" t="s">
        <v>1789</v>
      </c>
      <c r="C164" s="4" t="s">
        <v>1790</v>
      </c>
      <c r="D164" s="29" t="s">
        <v>1449</v>
      </c>
      <c r="E164" t="str">
        <f t="shared" si="4"/>
        <v>No</v>
      </c>
      <c r="F164" s="25"/>
      <c r="G164" s="24" t="b">
        <f t="shared" si="5"/>
        <v>0</v>
      </c>
    </row>
    <row r="165" spans="1:7" x14ac:dyDescent="0.3">
      <c r="A165" s="6" t="s">
        <v>1791</v>
      </c>
      <c r="B165" s="4" t="s">
        <v>1792</v>
      </c>
      <c r="C165" s="4" t="s">
        <v>1616</v>
      </c>
      <c r="D165" s="29" t="s">
        <v>1617</v>
      </c>
      <c r="E165" t="str">
        <f t="shared" si="4"/>
        <v>No</v>
      </c>
      <c r="F165" s="25"/>
      <c r="G165" s="24" t="b">
        <f t="shared" si="5"/>
        <v>0</v>
      </c>
    </row>
    <row r="166" spans="1:7" x14ac:dyDescent="0.3">
      <c r="A166" s="6" t="s">
        <v>1793</v>
      </c>
      <c r="B166" s="4" t="s">
        <v>1794</v>
      </c>
      <c r="C166" s="4" t="s">
        <v>1795</v>
      </c>
      <c r="D166" s="29" t="s">
        <v>1796</v>
      </c>
      <c r="E166" t="str">
        <f t="shared" si="4"/>
        <v>No</v>
      </c>
      <c r="F166" s="25"/>
      <c r="G166" s="24" t="b">
        <f t="shared" si="5"/>
        <v>0</v>
      </c>
    </row>
    <row r="167" spans="1:7" x14ac:dyDescent="0.3">
      <c r="A167" s="6" t="s">
        <v>1797</v>
      </c>
      <c r="B167" s="4" t="s">
        <v>1798</v>
      </c>
      <c r="C167" s="4" t="s">
        <v>1799</v>
      </c>
      <c r="D167" s="29" t="s">
        <v>1552</v>
      </c>
      <c r="E167" t="str">
        <f t="shared" si="4"/>
        <v>No</v>
      </c>
      <c r="F167" s="25"/>
      <c r="G167" s="24" t="b">
        <f t="shared" si="5"/>
        <v>0</v>
      </c>
    </row>
    <row r="168" spans="1:7" x14ac:dyDescent="0.3">
      <c r="A168" s="6" t="s">
        <v>1800</v>
      </c>
      <c r="B168" s="4" t="s">
        <v>1801</v>
      </c>
      <c r="C168" s="4" t="s">
        <v>1802</v>
      </c>
      <c r="D168" s="29" t="s">
        <v>57</v>
      </c>
      <c r="E168" t="str">
        <f t="shared" si="4"/>
        <v>No</v>
      </c>
      <c r="F168" s="25"/>
      <c r="G168" s="24" t="b">
        <f t="shared" si="5"/>
        <v>0</v>
      </c>
    </row>
    <row r="169" spans="1:7" x14ac:dyDescent="0.3">
      <c r="A169" s="6" t="s">
        <v>1803</v>
      </c>
      <c r="B169" s="4" t="s">
        <v>1804</v>
      </c>
      <c r="C169" s="4" t="s">
        <v>1799</v>
      </c>
      <c r="D169" s="29" t="s">
        <v>1549</v>
      </c>
      <c r="E169" t="str">
        <f t="shared" si="4"/>
        <v>No</v>
      </c>
      <c r="F169" s="25"/>
      <c r="G169" s="24" t="b">
        <f t="shared" si="5"/>
        <v>0</v>
      </c>
    </row>
    <row r="170" spans="1:7" x14ac:dyDescent="0.3">
      <c r="A170" s="6" t="s">
        <v>1805</v>
      </c>
      <c r="B170" s="4" t="s">
        <v>1654</v>
      </c>
      <c r="C170" s="4" t="s">
        <v>1523</v>
      </c>
      <c r="D170" s="29" t="s">
        <v>1527</v>
      </c>
      <c r="E170" t="str">
        <f t="shared" si="4"/>
        <v>No</v>
      </c>
      <c r="F170" s="25"/>
      <c r="G170" s="24" t="b">
        <f t="shared" si="5"/>
        <v>0</v>
      </c>
    </row>
    <row r="171" spans="1:7" x14ac:dyDescent="0.3">
      <c r="A171" s="6" t="s">
        <v>1806</v>
      </c>
      <c r="B171" s="4" t="s">
        <v>1671</v>
      </c>
      <c r="C171" s="4" t="s">
        <v>1102</v>
      </c>
      <c r="D171" s="29" t="s">
        <v>1462</v>
      </c>
      <c r="E171" t="str">
        <f t="shared" si="4"/>
        <v>No</v>
      </c>
      <c r="F171" s="25"/>
      <c r="G171" s="24" t="b">
        <f t="shared" si="5"/>
        <v>0</v>
      </c>
    </row>
    <row r="172" spans="1:7" x14ac:dyDescent="0.3">
      <c r="A172" s="6" t="s">
        <v>1807</v>
      </c>
      <c r="B172" s="4" t="s">
        <v>1755</v>
      </c>
      <c r="C172" s="4" t="s">
        <v>1442</v>
      </c>
      <c r="D172" s="29" t="s">
        <v>1443</v>
      </c>
      <c r="E172" t="str">
        <f t="shared" si="4"/>
        <v>No</v>
      </c>
      <c r="F172" s="25"/>
      <c r="G172" s="24" t="b">
        <f t="shared" si="5"/>
        <v>0</v>
      </c>
    </row>
    <row r="173" spans="1:7" x14ac:dyDescent="0.3">
      <c r="A173" s="6" t="s">
        <v>1808</v>
      </c>
      <c r="B173" s="4" t="s">
        <v>1809</v>
      </c>
      <c r="C173" s="4" t="s">
        <v>1587</v>
      </c>
      <c r="D173" s="29" t="s">
        <v>1810</v>
      </c>
      <c r="E173" t="str">
        <f t="shared" si="4"/>
        <v>No</v>
      </c>
      <c r="F173" s="25"/>
      <c r="G173" s="24" t="b">
        <f t="shared" si="5"/>
        <v>0</v>
      </c>
    </row>
    <row r="174" spans="1:7" x14ac:dyDescent="0.3">
      <c r="A174" s="6" t="s">
        <v>1811</v>
      </c>
      <c r="B174" s="4" t="s">
        <v>1812</v>
      </c>
      <c r="C174" s="4" t="s">
        <v>1813</v>
      </c>
      <c r="D174" s="29" t="s">
        <v>1780</v>
      </c>
      <c r="E174" t="str">
        <f t="shared" si="4"/>
        <v>No</v>
      </c>
      <c r="F174" s="25"/>
      <c r="G174" s="24" t="b">
        <f t="shared" si="5"/>
        <v>0</v>
      </c>
    </row>
    <row r="175" spans="1:7" x14ac:dyDescent="0.3">
      <c r="A175" s="6" t="s">
        <v>1814</v>
      </c>
      <c r="B175" s="4" t="s">
        <v>1815</v>
      </c>
      <c r="C175" s="4" t="s">
        <v>1404</v>
      </c>
      <c r="D175" s="29" t="s">
        <v>1816</v>
      </c>
      <c r="E175" t="str">
        <f t="shared" si="4"/>
        <v>No</v>
      </c>
      <c r="F175" s="25"/>
      <c r="G175" s="24" t="b">
        <f t="shared" si="5"/>
        <v>0</v>
      </c>
    </row>
    <row r="176" spans="1:7" x14ac:dyDescent="0.3">
      <c r="A176" s="6" t="s">
        <v>1817</v>
      </c>
      <c r="B176" s="4" t="s">
        <v>1818</v>
      </c>
      <c r="C176" s="4" t="s">
        <v>1819</v>
      </c>
      <c r="D176" s="29" t="s">
        <v>1820</v>
      </c>
      <c r="E176" t="str">
        <f t="shared" si="4"/>
        <v>No</v>
      </c>
      <c r="F176" s="25"/>
      <c r="G176" s="24" t="b">
        <f t="shared" si="5"/>
        <v>0</v>
      </c>
    </row>
    <row r="177" spans="1:7" x14ac:dyDescent="0.3">
      <c r="A177" s="6" t="s">
        <v>1821</v>
      </c>
      <c r="B177" s="4" t="s">
        <v>1822</v>
      </c>
      <c r="C177" s="4" t="s">
        <v>1110</v>
      </c>
      <c r="D177" s="29" t="s">
        <v>1409</v>
      </c>
      <c r="E177" t="str">
        <f t="shared" si="4"/>
        <v>No</v>
      </c>
      <c r="F177" s="25"/>
      <c r="G177" s="24" t="b">
        <f t="shared" si="5"/>
        <v>0</v>
      </c>
    </row>
    <row r="178" spans="1:7" x14ac:dyDescent="0.3">
      <c r="A178" s="6" t="s">
        <v>1823</v>
      </c>
      <c r="B178" s="4" t="s">
        <v>1392</v>
      </c>
      <c r="C178" s="4" t="s">
        <v>1105</v>
      </c>
      <c r="D178" s="29" t="s">
        <v>1824</v>
      </c>
      <c r="E178" t="str">
        <f t="shared" si="4"/>
        <v>YES</v>
      </c>
      <c r="F178" s="25" t="b">
        <v>1</v>
      </c>
      <c r="G178" s="24" t="b">
        <f t="shared" si="5"/>
        <v>1</v>
      </c>
    </row>
    <row r="179" spans="1:7" x14ac:dyDescent="0.3">
      <c r="A179" s="6" t="s">
        <v>1825</v>
      </c>
      <c r="B179" s="4" t="s">
        <v>1826</v>
      </c>
      <c r="C179" s="4" t="s">
        <v>1612</v>
      </c>
      <c r="D179" s="29" t="s">
        <v>1613</v>
      </c>
      <c r="E179" t="str">
        <f t="shared" si="4"/>
        <v>No</v>
      </c>
      <c r="F179" s="25"/>
      <c r="G179" s="24" t="b">
        <f t="shared" si="5"/>
        <v>0</v>
      </c>
    </row>
    <row r="180" spans="1:7" x14ac:dyDescent="0.3">
      <c r="A180" s="6" t="s">
        <v>1827</v>
      </c>
      <c r="B180" s="4" t="s">
        <v>1828</v>
      </c>
      <c r="C180" s="4" t="s">
        <v>1608</v>
      </c>
      <c r="D180" s="29" t="s">
        <v>1609</v>
      </c>
      <c r="E180" t="str">
        <f t="shared" si="4"/>
        <v>No</v>
      </c>
      <c r="F180" s="25"/>
      <c r="G180" s="24" t="b">
        <f t="shared" si="5"/>
        <v>0</v>
      </c>
    </row>
    <row r="181" spans="1:7" x14ac:dyDescent="0.3">
      <c r="A181" s="6" t="s">
        <v>1829</v>
      </c>
      <c r="B181" s="4" t="s">
        <v>1830</v>
      </c>
      <c r="C181" s="4" t="s">
        <v>1616</v>
      </c>
      <c r="D181" s="29" t="s">
        <v>1617</v>
      </c>
      <c r="E181" t="str">
        <f t="shared" si="4"/>
        <v>No</v>
      </c>
      <c r="F181" s="25"/>
      <c r="G181" s="24" t="b">
        <f t="shared" si="5"/>
        <v>0</v>
      </c>
    </row>
    <row r="182" spans="1:7" x14ac:dyDescent="0.3">
      <c r="A182" s="6" t="s">
        <v>1831</v>
      </c>
      <c r="B182" s="4" t="s">
        <v>1832</v>
      </c>
      <c r="C182" s="4" t="s">
        <v>1608</v>
      </c>
      <c r="D182" s="29" t="s">
        <v>1500</v>
      </c>
      <c r="E182" t="str">
        <f t="shared" si="4"/>
        <v>No</v>
      </c>
      <c r="F182" s="25"/>
      <c r="G182" s="24" t="b">
        <f t="shared" si="5"/>
        <v>0</v>
      </c>
    </row>
    <row r="183" spans="1:7" x14ac:dyDescent="0.3">
      <c r="A183" s="6" t="s">
        <v>1833</v>
      </c>
      <c r="B183" s="4" t="s">
        <v>1834</v>
      </c>
      <c r="C183" s="4" t="s">
        <v>1608</v>
      </c>
      <c r="D183" s="29" t="s">
        <v>1835</v>
      </c>
      <c r="E183" t="str">
        <f t="shared" si="4"/>
        <v>No</v>
      </c>
      <c r="F183" s="25"/>
      <c r="G183" s="24" t="b">
        <f t="shared" si="5"/>
        <v>0</v>
      </c>
    </row>
    <row r="184" spans="1:7" x14ac:dyDescent="0.3">
      <c r="A184" s="6" t="s">
        <v>1836</v>
      </c>
      <c r="B184" s="4" t="s">
        <v>1837</v>
      </c>
      <c r="C184" s="4" t="s">
        <v>1838</v>
      </c>
      <c r="D184" s="29" t="s">
        <v>1839</v>
      </c>
      <c r="E184" t="str">
        <f t="shared" si="4"/>
        <v>No</v>
      </c>
      <c r="F184" s="25"/>
      <c r="G184" s="24" t="b">
        <f t="shared" si="5"/>
        <v>0</v>
      </c>
    </row>
    <row r="185" spans="1:7" x14ac:dyDescent="0.3">
      <c r="A185" s="6" t="s">
        <v>1840</v>
      </c>
      <c r="B185" s="4" t="s">
        <v>1841</v>
      </c>
      <c r="C185" s="4" t="s">
        <v>1600</v>
      </c>
      <c r="D185" s="29" t="s">
        <v>1601</v>
      </c>
      <c r="E185" t="str">
        <f t="shared" si="4"/>
        <v>No</v>
      </c>
      <c r="F185" s="25"/>
      <c r="G185" s="24" t="b">
        <f t="shared" si="5"/>
        <v>0</v>
      </c>
    </row>
    <row r="186" spans="1:7" x14ac:dyDescent="0.3">
      <c r="A186" s="6" t="s">
        <v>1842</v>
      </c>
      <c r="B186" s="4" t="s">
        <v>1752</v>
      </c>
      <c r="C186" s="4" t="s">
        <v>1442</v>
      </c>
      <c r="D186" s="29" t="s">
        <v>1753</v>
      </c>
      <c r="E186" t="str">
        <f t="shared" si="4"/>
        <v>No</v>
      </c>
      <c r="F186" s="25"/>
      <c r="G186" s="24" t="b">
        <f t="shared" si="5"/>
        <v>0</v>
      </c>
    </row>
    <row r="187" spans="1:7" x14ac:dyDescent="0.3">
      <c r="A187" s="6" t="s">
        <v>1843</v>
      </c>
      <c r="B187" s="4" t="s">
        <v>769</v>
      </c>
      <c r="C187" s="4" t="s">
        <v>1451</v>
      </c>
      <c r="D187" s="29" t="s">
        <v>1662</v>
      </c>
      <c r="E187" t="str">
        <f t="shared" si="4"/>
        <v>YES</v>
      </c>
      <c r="F187" s="25" t="b">
        <v>1</v>
      </c>
      <c r="G187" s="24" t="b">
        <f t="shared" si="5"/>
        <v>1</v>
      </c>
    </row>
    <row r="188" spans="1:7" x14ac:dyDescent="0.3">
      <c r="A188" s="6" t="s">
        <v>1844</v>
      </c>
      <c r="B188" s="4" t="s">
        <v>1699</v>
      </c>
      <c r="C188" s="4" t="s">
        <v>1100</v>
      </c>
      <c r="D188" s="29" t="s">
        <v>1502</v>
      </c>
      <c r="E188" t="str">
        <f t="shared" si="4"/>
        <v>No</v>
      </c>
      <c r="F188" s="25"/>
      <c r="G188" s="24" t="b">
        <f t="shared" si="5"/>
        <v>0</v>
      </c>
    </row>
    <row r="189" spans="1:7" x14ac:dyDescent="0.3">
      <c r="A189" s="6" t="s">
        <v>1845</v>
      </c>
      <c r="B189" s="4" t="s">
        <v>1702</v>
      </c>
      <c r="C189" s="4" t="s">
        <v>1100</v>
      </c>
      <c r="D189" s="29" t="s">
        <v>1504</v>
      </c>
      <c r="E189" t="str">
        <f t="shared" si="4"/>
        <v>No</v>
      </c>
      <c r="F189" s="25"/>
      <c r="G189" s="24" t="b">
        <f t="shared" si="5"/>
        <v>0</v>
      </c>
    </row>
    <row r="190" spans="1:7" x14ac:dyDescent="0.3">
      <c r="A190" s="6" t="s">
        <v>1846</v>
      </c>
      <c r="B190" s="4" t="s">
        <v>1053</v>
      </c>
      <c r="C190" s="4" t="s">
        <v>1100</v>
      </c>
      <c r="D190" s="29" t="s">
        <v>1504</v>
      </c>
      <c r="E190" t="str">
        <f t="shared" si="4"/>
        <v>No</v>
      </c>
      <c r="F190" s="25"/>
      <c r="G190" s="24" t="b">
        <f t="shared" si="5"/>
        <v>0</v>
      </c>
    </row>
    <row r="191" spans="1:7" x14ac:dyDescent="0.3">
      <c r="A191" s="6" t="s">
        <v>1847</v>
      </c>
      <c r="B191" s="4" t="s">
        <v>1848</v>
      </c>
      <c r="C191" s="4" t="s">
        <v>1404</v>
      </c>
      <c r="D191" s="29" t="s">
        <v>1849</v>
      </c>
      <c r="E191" t="str">
        <f t="shared" si="4"/>
        <v>No</v>
      </c>
      <c r="F191" s="25"/>
      <c r="G191" s="24" t="b">
        <f t="shared" si="5"/>
        <v>0</v>
      </c>
    </row>
    <row r="192" spans="1:7" x14ac:dyDescent="0.3">
      <c r="A192" s="6" t="s">
        <v>1850</v>
      </c>
      <c r="B192" s="4" t="s">
        <v>1851</v>
      </c>
      <c r="C192" s="4" t="s">
        <v>1404</v>
      </c>
      <c r="D192" s="29" t="s">
        <v>1852</v>
      </c>
      <c r="E192" t="str">
        <f t="shared" si="4"/>
        <v>No</v>
      </c>
      <c r="F192" s="25"/>
      <c r="G192" s="24" t="b">
        <f t="shared" si="5"/>
        <v>0</v>
      </c>
    </row>
    <row r="193" spans="1:7" x14ac:dyDescent="0.3">
      <c r="A193" s="6" t="s">
        <v>1853</v>
      </c>
      <c r="B193" s="4" t="s">
        <v>1854</v>
      </c>
      <c r="C193" s="4" t="s">
        <v>1855</v>
      </c>
      <c r="D193" s="29" t="s">
        <v>1516</v>
      </c>
      <c r="E193" t="str">
        <f t="shared" si="4"/>
        <v>No</v>
      </c>
      <c r="F193" s="25"/>
      <c r="G193" s="24" t="b">
        <f t="shared" si="5"/>
        <v>0</v>
      </c>
    </row>
    <row r="194" spans="1:7" x14ac:dyDescent="0.3">
      <c r="A194" s="6" t="s">
        <v>1856</v>
      </c>
      <c r="B194" s="4" t="s">
        <v>1857</v>
      </c>
      <c r="C194" s="4" t="s">
        <v>1858</v>
      </c>
      <c r="D194" s="29" t="s">
        <v>1859</v>
      </c>
      <c r="E194" t="str">
        <f t="shared" ref="E194:E257" si="6">IF(F194, "YES", "No")</f>
        <v>No</v>
      </c>
      <c r="F194" s="25"/>
      <c r="G194" s="24" t="b">
        <f t="shared" ref="G194:G257" si="7">IF(COUNTIF($J$3:$J$100, B194) &gt; 0, TRUE, FALSE)</f>
        <v>0</v>
      </c>
    </row>
    <row r="195" spans="1:7" x14ac:dyDescent="0.3">
      <c r="A195" s="6" t="s">
        <v>1860</v>
      </c>
      <c r="B195" s="4" t="s">
        <v>1861</v>
      </c>
      <c r="C195" s="4" t="s">
        <v>1862</v>
      </c>
      <c r="D195" s="29" t="s">
        <v>1549</v>
      </c>
      <c r="E195" t="str">
        <f t="shared" si="6"/>
        <v>No</v>
      </c>
      <c r="F195" s="25"/>
      <c r="G195" s="24" t="b">
        <f t="shared" si="7"/>
        <v>0</v>
      </c>
    </row>
    <row r="196" spans="1:7" x14ac:dyDescent="0.3">
      <c r="A196" s="6" t="s">
        <v>1863</v>
      </c>
      <c r="B196" s="4" t="s">
        <v>1864</v>
      </c>
      <c r="C196" s="4" t="s">
        <v>1862</v>
      </c>
      <c r="D196" s="29" t="s">
        <v>1552</v>
      </c>
      <c r="E196" t="str">
        <f t="shared" si="6"/>
        <v>No</v>
      </c>
      <c r="F196" s="25"/>
      <c r="G196" s="24" t="b">
        <f t="shared" si="7"/>
        <v>0</v>
      </c>
    </row>
    <row r="197" spans="1:7" x14ac:dyDescent="0.3">
      <c r="A197" s="6" t="s">
        <v>1865</v>
      </c>
      <c r="B197" s="4" t="s">
        <v>1866</v>
      </c>
      <c r="C197" s="4" t="s">
        <v>1867</v>
      </c>
      <c r="D197" s="29" t="s">
        <v>1868</v>
      </c>
      <c r="E197" t="str">
        <f t="shared" si="6"/>
        <v>No</v>
      </c>
      <c r="F197" s="25"/>
      <c r="G197" s="24" t="b">
        <f t="shared" si="7"/>
        <v>0</v>
      </c>
    </row>
    <row r="198" spans="1:7" x14ac:dyDescent="0.3">
      <c r="A198" s="6" t="s">
        <v>1869</v>
      </c>
      <c r="B198" s="4" t="s">
        <v>1870</v>
      </c>
      <c r="C198" s="4" t="s">
        <v>1871</v>
      </c>
      <c r="D198" s="29" t="s">
        <v>1872</v>
      </c>
      <c r="E198" t="str">
        <f t="shared" si="6"/>
        <v>No</v>
      </c>
      <c r="F198" s="25"/>
      <c r="G198" s="24" t="b">
        <f t="shared" si="7"/>
        <v>0</v>
      </c>
    </row>
    <row r="199" spans="1:7" x14ac:dyDescent="0.3">
      <c r="A199" s="6" t="s">
        <v>1873</v>
      </c>
      <c r="B199" s="4" t="s">
        <v>1874</v>
      </c>
      <c r="C199" s="4" t="s">
        <v>1554</v>
      </c>
      <c r="D199" s="29" t="s">
        <v>1469</v>
      </c>
      <c r="E199" t="str">
        <f t="shared" si="6"/>
        <v>No</v>
      </c>
      <c r="F199" s="25"/>
      <c r="G199" s="24" t="b">
        <f t="shared" si="7"/>
        <v>0</v>
      </c>
    </row>
    <row r="200" spans="1:7" x14ac:dyDescent="0.3">
      <c r="A200" s="6" t="s">
        <v>1875</v>
      </c>
      <c r="B200" s="4" t="s">
        <v>1876</v>
      </c>
      <c r="C200" s="4" t="s">
        <v>1110</v>
      </c>
      <c r="D200" s="29" t="s">
        <v>1409</v>
      </c>
      <c r="E200" t="str">
        <f t="shared" si="6"/>
        <v>No</v>
      </c>
      <c r="F200" s="25"/>
      <c r="G200" s="24" t="b">
        <f t="shared" si="7"/>
        <v>0</v>
      </c>
    </row>
    <row r="201" spans="1:7" x14ac:dyDescent="0.3">
      <c r="A201" s="6" t="s">
        <v>1877</v>
      </c>
      <c r="B201" s="4" t="s">
        <v>89</v>
      </c>
      <c r="C201" s="4" t="s">
        <v>1110</v>
      </c>
      <c r="D201" s="29" t="s">
        <v>1878</v>
      </c>
      <c r="E201" t="str">
        <f t="shared" si="6"/>
        <v>YES</v>
      </c>
      <c r="F201" s="25" t="b">
        <v>1</v>
      </c>
      <c r="G201" s="24" t="b">
        <f t="shared" si="7"/>
        <v>1</v>
      </c>
    </row>
    <row r="202" spans="1:7" x14ac:dyDescent="0.3">
      <c r="A202" s="6" t="s">
        <v>1879</v>
      </c>
      <c r="B202" s="4" t="s">
        <v>1395</v>
      </c>
      <c r="C202" s="4" t="s">
        <v>1880</v>
      </c>
      <c r="D202" s="29" t="s">
        <v>1881</v>
      </c>
      <c r="E202" t="str">
        <f t="shared" si="6"/>
        <v>YES</v>
      </c>
      <c r="F202" s="25" t="b">
        <v>1</v>
      </c>
      <c r="G202" s="24" t="b">
        <f t="shared" si="7"/>
        <v>1</v>
      </c>
    </row>
    <row r="203" spans="1:7" x14ac:dyDescent="0.3">
      <c r="A203" s="6" t="s">
        <v>1882</v>
      </c>
      <c r="B203" s="4" t="s">
        <v>1883</v>
      </c>
      <c r="C203" s="4" t="s">
        <v>1880</v>
      </c>
      <c r="D203" s="29" t="s">
        <v>1884</v>
      </c>
      <c r="E203" t="str">
        <f t="shared" si="6"/>
        <v>No</v>
      </c>
      <c r="F203" s="25"/>
      <c r="G203" s="24" t="b">
        <f t="shared" si="7"/>
        <v>0</v>
      </c>
    </row>
    <row r="204" spans="1:7" x14ac:dyDescent="0.3">
      <c r="A204" s="6" t="s">
        <v>1885</v>
      </c>
      <c r="B204" s="4" t="s">
        <v>1886</v>
      </c>
      <c r="C204" s="4" t="s">
        <v>1105</v>
      </c>
      <c r="D204" s="29" t="s">
        <v>1824</v>
      </c>
      <c r="E204" t="str">
        <f t="shared" si="6"/>
        <v>No</v>
      </c>
      <c r="F204" s="25"/>
      <c r="G204" s="24" t="b">
        <f t="shared" si="7"/>
        <v>0</v>
      </c>
    </row>
    <row r="205" spans="1:7" x14ac:dyDescent="0.3">
      <c r="A205" s="6" t="s">
        <v>1887</v>
      </c>
      <c r="B205" s="4" t="s">
        <v>170</v>
      </c>
      <c r="C205" s="4" t="s">
        <v>1105</v>
      </c>
      <c r="D205" s="29" t="s">
        <v>1884</v>
      </c>
      <c r="E205" t="str">
        <f t="shared" si="6"/>
        <v>No</v>
      </c>
      <c r="F205" s="25"/>
      <c r="G205" s="24" t="b">
        <f t="shared" si="7"/>
        <v>0</v>
      </c>
    </row>
    <row r="206" spans="1:7" x14ac:dyDescent="0.3">
      <c r="A206" s="6" t="s">
        <v>1888</v>
      </c>
      <c r="B206" s="4" t="s">
        <v>895</v>
      </c>
      <c r="C206" s="4" t="s">
        <v>1110</v>
      </c>
      <c r="D206" s="29" t="s">
        <v>1889</v>
      </c>
      <c r="E206" t="str">
        <f t="shared" si="6"/>
        <v>No</v>
      </c>
      <c r="F206" s="25"/>
      <c r="G206" s="24" t="b">
        <f t="shared" si="7"/>
        <v>0</v>
      </c>
    </row>
    <row r="207" spans="1:7" x14ac:dyDescent="0.3">
      <c r="A207" s="6" t="s">
        <v>1890</v>
      </c>
      <c r="B207" s="4" t="s">
        <v>1891</v>
      </c>
      <c r="C207" s="4" t="s">
        <v>1892</v>
      </c>
      <c r="D207" s="29" t="s">
        <v>1893</v>
      </c>
      <c r="E207" t="str">
        <f t="shared" si="6"/>
        <v>No</v>
      </c>
      <c r="F207" s="25"/>
      <c r="G207" s="24" t="b">
        <f t="shared" si="7"/>
        <v>0</v>
      </c>
    </row>
    <row r="208" spans="1:7" x14ac:dyDescent="0.3">
      <c r="A208" s="6" t="s">
        <v>1894</v>
      </c>
      <c r="B208" s="4" t="s">
        <v>306</v>
      </c>
      <c r="C208" s="4" t="s">
        <v>1110</v>
      </c>
      <c r="D208" s="29" t="s">
        <v>1878</v>
      </c>
      <c r="E208" t="str">
        <f t="shared" si="6"/>
        <v>No</v>
      </c>
      <c r="F208" s="25"/>
      <c r="G208" s="24" t="b">
        <f t="shared" si="7"/>
        <v>0</v>
      </c>
    </row>
    <row r="209" spans="1:7" x14ac:dyDescent="0.3">
      <c r="A209" s="6" t="s">
        <v>1895</v>
      </c>
      <c r="B209" s="4" t="s">
        <v>1029</v>
      </c>
      <c r="C209" s="4" t="s">
        <v>1105</v>
      </c>
      <c r="D209" s="29" t="s">
        <v>1884</v>
      </c>
      <c r="E209" t="str">
        <f t="shared" si="6"/>
        <v>No</v>
      </c>
      <c r="F209" s="25"/>
      <c r="G209" s="24" t="b">
        <f t="shared" si="7"/>
        <v>0</v>
      </c>
    </row>
    <row r="210" spans="1:7" x14ac:dyDescent="0.3">
      <c r="A210" s="6" t="s">
        <v>1896</v>
      </c>
      <c r="B210" s="4" t="s">
        <v>1897</v>
      </c>
      <c r="C210" s="4" t="s">
        <v>1104</v>
      </c>
      <c r="D210" s="29" t="s">
        <v>1732</v>
      </c>
      <c r="E210" t="str">
        <f t="shared" si="6"/>
        <v>No</v>
      </c>
      <c r="F210" s="25"/>
      <c r="G210" s="24" t="b">
        <f t="shared" si="7"/>
        <v>0</v>
      </c>
    </row>
    <row r="211" spans="1:7" x14ac:dyDescent="0.3">
      <c r="A211" s="6" t="s">
        <v>1898</v>
      </c>
      <c r="B211" s="4" t="s">
        <v>1723</v>
      </c>
      <c r="C211" s="4" t="s">
        <v>1523</v>
      </c>
      <c r="D211" s="29" t="s">
        <v>1524</v>
      </c>
      <c r="E211" t="str">
        <f t="shared" si="6"/>
        <v>No</v>
      </c>
      <c r="F211" s="25"/>
      <c r="G211" s="24" t="b">
        <f t="shared" si="7"/>
        <v>0</v>
      </c>
    </row>
    <row r="212" spans="1:7" x14ac:dyDescent="0.3">
      <c r="A212" s="6" t="s">
        <v>1899</v>
      </c>
      <c r="B212" s="4" t="s">
        <v>1757</v>
      </c>
      <c r="C212" s="4" t="s">
        <v>1442</v>
      </c>
      <c r="D212" s="29" t="s">
        <v>1753</v>
      </c>
      <c r="E212" t="str">
        <f t="shared" si="6"/>
        <v>No</v>
      </c>
      <c r="F212" s="25"/>
      <c r="G212" s="24" t="b">
        <f t="shared" si="7"/>
        <v>0</v>
      </c>
    </row>
    <row r="213" spans="1:7" x14ac:dyDescent="0.3">
      <c r="A213" s="6" t="s">
        <v>1900</v>
      </c>
      <c r="B213" s="4" t="s">
        <v>1667</v>
      </c>
      <c r="C213" s="4" t="s">
        <v>1108</v>
      </c>
      <c r="D213" s="29" t="s">
        <v>1543</v>
      </c>
      <c r="E213" t="str">
        <f t="shared" si="6"/>
        <v>No</v>
      </c>
      <c r="F213" s="25"/>
      <c r="G213" s="24" t="b">
        <f t="shared" si="7"/>
        <v>0</v>
      </c>
    </row>
    <row r="214" spans="1:7" x14ac:dyDescent="0.3">
      <c r="A214" s="6" t="s">
        <v>1901</v>
      </c>
      <c r="B214" s="4" t="s">
        <v>1683</v>
      </c>
      <c r="C214" s="4" t="s">
        <v>1442</v>
      </c>
      <c r="D214" s="29" t="s">
        <v>1443</v>
      </c>
      <c r="E214" t="str">
        <f t="shared" si="6"/>
        <v>No</v>
      </c>
      <c r="F214" s="25"/>
      <c r="G214" s="24" t="b">
        <f t="shared" si="7"/>
        <v>0</v>
      </c>
    </row>
    <row r="215" spans="1:7" x14ac:dyDescent="0.3">
      <c r="A215" s="6" t="s">
        <v>1902</v>
      </c>
      <c r="B215" s="4" t="s">
        <v>1903</v>
      </c>
      <c r="C215" s="4" t="s">
        <v>1904</v>
      </c>
      <c r="D215" s="29" t="s">
        <v>1549</v>
      </c>
      <c r="E215" t="str">
        <f t="shared" si="6"/>
        <v>No</v>
      </c>
      <c r="F215" s="25"/>
      <c r="G215" s="24" t="b">
        <f t="shared" si="7"/>
        <v>0</v>
      </c>
    </row>
    <row r="216" spans="1:7" x14ac:dyDescent="0.3">
      <c r="A216" s="6" t="s">
        <v>1905</v>
      </c>
      <c r="B216" s="4" t="s">
        <v>1906</v>
      </c>
      <c r="C216" s="4" t="s">
        <v>1904</v>
      </c>
      <c r="D216" s="29" t="s">
        <v>1552</v>
      </c>
      <c r="E216" t="str">
        <f t="shared" si="6"/>
        <v>No</v>
      </c>
      <c r="F216" s="25"/>
      <c r="G216" s="24" t="b">
        <f t="shared" si="7"/>
        <v>0</v>
      </c>
    </row>
    <row r="217" spans="1:7" x14ac:dyDescent="0.3">
      <c r="A217" s="6" t="s">
        <v>1907</v>
      </c>
      <c r="B217" s="4" t="s">
        <v>1675</v>
      </c>
      <c r="C217" s="4" t="s">
        <v>1102</v>
      </c>
      <c r="D217" s="29" t="s">
        <v>1519</v>
      </c>
      <c r="E217" t="str">
        <f t="shared" si="6"/>
        <v>No</v>
      </c>
      <c r="F217" s="25"/>
      <c r="G217" s="24" t="b">
        <f t="shared" si="7"/>
        <v>0</v>
      </c>
    </row>
    <row r="218" spans="1:7" x14ac:dyDescent="0.3">
      <c r="A218" s="6" t="s">
        <v>1908</v>
      </c>
      <c r="B218" s="4" t="s">
        <v>1909</v>
      </c>
      <c r="C218" s="4" t="s">
        <v>1404</v>
      </c>
      <c r="D218" s="29" t="s">
        <v>1852</v>
      </c>
      <c r="E218" t="str">
        <f t="shared" si="6"/>
        <v>No</v>
      </c>
      <c r="F218" s="25"/>
      <c r="G218" s="24" t="b">
        <f t="shared" si="7"/>
        <v>0</v>
      </c>
    </row>
    <row r="219" spans="1:7" x14ac:dyDescent="0.3">
      <c r="A219" s="6" t="s">
        <v>1910</v>
      </c>
      <c r="B219" s="4" t="s">
        <v>1911</v>
      </c>
      <c r="C219" s="4" t="s">
        <v>1404</v>
      </c>
      <c r="D219" s="29" t="s">
        <v>1852</v>
      </c>
      <c r="E219" t="str">
        <f t="shared" si="6"/>
        <v>No</v>
      </c>
      <c r="F219" s="25"/>
      <c r="G219" s="24" t="b">
        <f t="shared" si="7"/>
        <v>0</v>
      </c>
    </row>
    <row r="220" spans="1:7" x14ac:dyDescent="0.3">
      <c r="A220" s="6" t="s">
        <v>1912</v>
      </c>
      <c r="B220" s="4" t="s">
        <v>1913</v>
      </c>
      <c r="C220" s="4" t="s">
        <v>1914</v>
      </c>
      <c r="D220" s="29" t="s">
        <v>1915</v>
      </c>
      <c r="E220" t="str">
        <f t="shared" si="6"/>
        <v>No</v>
      </c>
      <c r="F220" s="25"/>
      <c r="G220" s="24" t="b">
        <f t="shared" si="7"/>
        <v>0</v>
      </c>
    </row>
    <row r="221" spans="1:7" x14ac:dyDescent="0.3">
      <c r="A221" s="6" t="s">
        <v>1916</v>
      </c>
      <c r="B221" s="4" t="s">
        <v>370</v>
      </c>
      <c r="C221" s="4" t="s">
        <v>1587</v>
      </c>
      <c r="D221" s="29" t="s">
        <v>1414</v>
      </c>
      <c r="E221" t="str">
        <f t="shared" si="6"/>
        <v>YES</v>
      </c>
      <c r="F221" s="25" t="b">
        <v>1</v>
      </c>
      <c r="G221" s="24" t="b">
        <f t="shared" si="7"/>
        <v>1</v>
      </c>
    </row>
    <row r="222" spans="1:7" x14ac:dyDescent="0.3">
      <c r="A222" s="6" t="s">
        <v>1917</v>
      </c>
      <c r="B222" s="4" t="s">
        <v>1656</v>
      </c>
      <c r="C222" s="4" t="s">
        <v>1523</v>
      </c>
      <c r="D222" s="29" t="s">
        <v>1527</v>
      </c>
      <c r="E222" t="str">
        <f t="shared" si="6"/>
        <v>No</v>
      </c>
      <c r="F222" s="25"/>
      <c r="G222" s="24" t="b">
        <f t="shared" si="7"/>
        <v>0</v>
      </c>
    </row>
    <row r="223" spans="1:7" x14ac:dyDescent="0.3">
      <c r="A223" s="6" t="s">
        <v>1918</v>
      </c>
      <c r="B223" s="4" t="s">
        <v>1658</v>
      </c>
      <c r="C223" s="4" t="s">
        <v>1523</v>
      </c>
      <c r="D223" s="29" t="s">
        <v>1527</v>
      </c>
      <c r="E223" t="str">
        <f t="shared" si="6"/>
        <v>No</v>
      </c>
      <c r="F223" s="25"/>
      <c r="G223" s="24" t="b">
        <f t="shared" si="7"/>
        <v>0</v>
      </c>
    </row>
    <row r="224" spans="1:7" x14ac:dyDescent="0.3">
      <c r="A224" s="6" t="s">
        <v>1919</v>
      </c>
      <c r="B224" s="4" t="s">
        <v>1396</v>
      </c>
      <c r="C224" s="4" t="s">
        <v>1773</v>
      </c>
      <c r="D224" s="29" t="s">
        <v>1776</v>
      </c>
      <c r="E224" t="str">
        <f t="shared" si="6"/>
        <v>YES</v>
      </c>
      <c r="F224" s="25" t="b">
        <v>1</v>
      </c>
      <c r="G224" s="24" t="b">
        <f t="shared" si="7"/>
        <v>1</v>
      </c>
    </row>
    <row r="225" spans="1:7" x14ac:dyDescent="0.3">
      <c r="A225" s="6" t="s">
        <v>1920</v>
      </c>
      <c r="B225" s="4" t="s">
        <v>1044</v>
      </c>
      <c r="C225" s="4" t="s">
        <v>1921</v>
      </c>
      <c r="D225" s="29" t="s">
        <v>1922</v>
      </c>
      <c r="E225" t="str">
        <f t="shared" si="6"/>
        <v>No</v>
      </c>
      <c r="F225" s="25"/>
      <c r="G225" s="24" t="b">
        <f t="shared" si="7"/>
        <v>0</v>
      </c>
    </row>
    <row r="226" spans="1:7" x14ac:dyDescent="0.3">
      <c r="A226" s="6" t="s">
        <v>1923</v>
      </c>
      <c r="B226" s="4" t="s">
        <v>1924</v>
      </c>
      <c r="C226" s="4" t="s">
        <v>1921</v>
      </c>
      <c r="D226" s="29" t="s">
        <v>1922</v>
      </c>
      <c r="E226" t="str">
        <f t="shared" si="6"/>
        <v>No</v>
      </c>
      <c r="F226" s="25"/>
      <c r="G226" s="24" t="b">
        <f t="shared" si="7"/>
        <v>0</v>
      </c>
    </row>
    <row r="227" spans="1:7" x14ac:dyDescent="0.3">
      <c r="A227" s="6" t="s">
        <v>1925</v>
      </c>
      <c r="B227" s="4" t="s">
        <v>1926</v>
      </c>
      <c r="C227" s="4" t="s">
        <v>1914</v>
      </c>
      <c r="D227" s="29" t="s">
        <v>1927</v>
      </c>
      <c r="E227" t="str">
        <f t="shared" si="6"/>
        <v>No</v>
      </c>
      <c r="F227" s="25"/>
      <c r="G227" s="24" t="b">
        <f t="shared" si="7"/>
        <v>0</v>
      </c>
    </row>
    <row r="228" spans="1:7" x14ac:dyDescent="0.3">
      <c r="A228" s="6" t="s">
        <v>1928</v>
      </c>
      <c r="B228" s="4" t="s">
        <v>1929</v>
      </c>
      <c r="C228" s="4" t="s">
        <v>1914</v>
      </c>
      <c r="D228" s="29" t="s">
        <v>1927</v>
      </c>
      <c r="E228" t="str">
        <f t="shared" si="6"/>
        <v>No</v>
      </c>
      <c r="F228" s="25"/>
      <c r="G228" s="24" t="b">
        <f t="shared" si="7"/>
        <v>0</v>
      </c>
    </row>
    <row r="229" spans="1:7" x14ac:dyDescent="0.3">
      <c r="A229" s="6" t="s">
        <v>1930</v>
      </c>
      <c r="B229" s="4" t="s">
        <v>1931</v>
      </c>
      <c r="C229" s="4" t="s">
        <v>1932</v>
      </c>
      <c r="D229" s="29" t="s">
        <v>1549</v>
      </c>
      <c r="E229" t="str">
        <f t="shared" si="6"/>
        <v>No</v>
      </c>
      <c r="F229" s="25"/>
      <c r="G229" s="24" t="b">
        <f t="shared" si="7"/>
        <v>0</v>
      </c>
    </row>
    <row r="230" spans="1:7" x14ac:dyDescent="0.3">
      <c r="A230" s="6" t="s">
        <v>1933</v>
      </c>
      <c r="B230" s="4" t="s">
        <v>1934</v>
      </c>
      <c r="C230" s="4" t="s">
        <v>1871</v>
      </c>
      <c r="D230" s="29" t="s">
        <v>1872</v>
      </c>
      <c r="E230" t="str">
        <f t="shared" si="6"/>
        <v>No</v>
      </c>
      <c r="F230" s="25"/>
      <c r="G230" s="24" t="b">
        <f t="shared" si="7"/>
        <v>0</v>
      </c>
    </row>
    <row r="231" spans="1:7" x14ac:dyDescent="0.3">
      <c r="A231" s="6" t="s">
        <v>1935</v>
      </c>
      <c r="B231" s="4" t="s">
        <v>1936</v>
      </c>
      <c r="C231" s="4" t="s">
        <v>1937</v>
      </c>
      <c r="D231" s="29" t="s">
        <v>1938</v>
      </c>
      <c r="E231" t="str">
        <f t="shared" si="6"/>
        <v>No</v>
      </c>
      <c r="F231" s="25"/>
      <c r="G231" s="24" t="b">
        <f t="shared" si="7"/>
        <v>0</v>
      </c>
    </row>
    <row r="232" spans="1:7" x14ac:dyDescent="0.3">
      <c r="A232" s="6" t="s">
        <v>1939</v>
      </c>
      <c r="B232" s="4" t="s">
        <v>1940</v>
      </c>
      <c r="C232" s="4" t="s">
        <v>1941</v>
      </c>
      <c r="D232" s="29" t="s">
        <v>1516</v>
      </c>
      <c r="E232" t="str">
        <f t="shared" si="6"/>
        <v>No</v>
      </c>
      <c r="F232" s="25"/>
      <c r="G232" s="24" t="b">
        <f t="shared" si="7"/>
        <v>0</v>
      </c>
    </row>
    <row r="233" spans="1:7" x14ac:dyDescent="0.3">
      <c r="A233" s="6" t="s">
        <v>1942</v>
      </c>
      <c r="B233" s="4" t="s">
        <v>1943</v>
      </c>
      <c r="C233" s="4" t="s">
        <v>1944</v>
      </c>
      <c r="D233" s="29" t="s">
        <v>1945</v>
      </c>
      <c r="E233" t="str">
        <f t="shared" si="6"/>
        <v>No</v>
      </c>
      <c r="F233" s="25"/>
      <c r="G233" s="24" t="b">
        <f t="shared" si="7"/>
        <v>0</v>
      </c>
    </row>
    <row r="234" spans="1:7" x14ac:dyDescent="0.3">
      <c r="A234" s="6" t="s">
        <v>1946</v>
      </c>
      <c r="B234" s="4" t="s">
        <v>1947</v>
      </c>
      <c r="C234" s="4" t="s">
        <v>1867</v>
      </c>
      <c r="D234" s="29" t="s">
        <v>1948</v>
      </c>
      <c r="E234" t="str">
        <f t="shared" si="6"/>
        <v>No</v>
      </c>
      <c r="F234" s="25"/>
      <c r="G234" s="24" t="b">
        <f t="shared" si="7"/>
        <v>0</v>
      </c>
    </row>
    <row r="235" spans="1:7" x14ac:dyDescent="0.3">
      <c r="A235" s="6" t="s">
        <v>1949</v>
      </c>
      <c r="B235" s="4" t="s">
        <v>1950</v>
      </c>
      <c r="C235" s="4" t="s">
        <v>1867</v>
      </c>
      <c r="D235" s="29" t="s">
        <v>1948</v>
      </c>
      <c r="E235" t="str">
        <f t="shared" si="6"/>
        <v>No</v>
      </c>
      <c r="F235" s="25"/>
      <c r="G235" s="24" t="b">
        <f t="shared" si="7"/>
        <v>0</v>
      </c>
    </row>
    <row r="236" spans="1:7" x14ac:dyDescent="0.3">
      <c r="A236" s="6" t="s">
        <v>1951</v>
      </c>
      <c r="B236" s="4" t="s">
        <v>1952</v>
      </c>
      <c r="C236" s="4" t="s">
        <v>1867</v>
      </c>
      <c r="D236" s="29" t="s">
        <v>1502</v>
      </c>
      <c r="E236" t="str">
        <f t="shared" si="6"/>
        <v>No</v>
      </c>
      <c r="F236" s="25"/>
      <c r="G236" s="24" t="b">
        <f t="shared" si="7"/>
        <v>0</v>
      </c>
    </row>
    <row r="237" spans="1:7" x14ac:dyDescent="0.3">
      <c r="A237" s="6" t="s">
        <v>1953</v>
      </c>
      <c r="B237" s="4" t="s">
        <v>1954</v>
      </c>
      <c r="C237" s="4" t="s">
        <v>1867</v>
      </c>
      <c r="D237" s="29" t="s">
        <v>1955</v>
      </c>
      <c r="E237" t="str">
        <f t="shared" si="6"/>
        <v>No</v>
      </c>
      <c r="F237" s="25"/>
      <c r="G237" s="24" t="b">
        <f t="shared" si="7"/>
        <v>0</v>
      </c>
    </row>
    <row r="238" spans="1:7" x14ac:dyDescent="0.3">
      <c r="A238" s="6" t="s">
        <v>1956</v>
      </c>
      <c r="B238" s="4" t="s">
        <v>1957</v>
      </c>
      <c r="C238" s="4" t="s">
        <v>1554</v>
      </c>
      <c r="D238" s="29" t="s">
        <v>1469</v>
      </c>
      <c r="E238" t="str">
        <f t="shared" si="6"/>
        <v>No</v>
      </c>
      <c r="F238" s="25"/>
      <c r="G238" s="24" t="b">
        <f t="shared" si="7"/>
        <v>0</v>
      </c>
    </row>
    <row r="239" spans="1:7" x14ac:dyDescent="0.3">
      <c r="A239" s="6" t="s">
        <v>1958</v>
      </c>
      <c r="B239" s="4" t="s">
        <v>1959</v>
      </c>
      <c r="C239" s="4" t="s">
        <v>1554</v>
      </c>
      <c r="D239" s="29" t="s">
        <v>1469</v>
      </c>
      <c r="E239" t="str">
        <f t="shared" si="6"/>
        <v>No</v>
      </c>
      <c r="F239" s="25"/>
      <c r="G239" s="24" t="b">
        <f t="shared" si="7"/>
        <v>0</v>
      </c>
    </row>
    <row r="240" spans="1:7" x14ac:dyDescent="0.3">
      <c r="A240" s="6" t="s">
        <v>1960</v>
      </c>
      <c r="B240" s="4" t="s">
        <v>1961</v>
      </c>
      <c r="C240" s="4" t="s">
        <v>1554</v>
      </c>
      <c r="D240" s="29" t="s">
        <v>1469</v>
      </c>
      <c r="E240" t="str">
        <f t="shared" si="6"/>
        <v>No</v>
      </c>
      <c r="F240" s="25"/>
      <c r="G240" s="24" t="b">
        <f t="shared" si="7"/>
        <v>0</v>
      </c>
    </row>
    <row r="241" spans="1:7" x14ac:dyDescent="0.3">
      <c r="A241" s="6" t="s">
        <v>1962</v>
      </c>
      <c r="B241" s="4" t="s">
        <v>1963</v>
      </c>
      <c r="C241" s="4" t="s">
        <v>1468</v>
      </c>
      <c r="D241" s="29" t="s">
        <v>1469</v>
      </c>
      <c r="E241" t="str">
        <f t="shared" si="6"/>
        <v>No</v>
      </c>
      <c r="F241" s="25"/>
      <c r="G241" s="24" t="b">
        <f t="shared" si="7"/>
        <v>0</v>
      </c>
    </row>
    <row r="242" spans="1:7" x14ac:dyDescent="0.3">
      <c r="A242" s="6" t="s">
        <v>1964</v>
      </c>
      <c r="B242" s="4" t="s">
        <v>1965</v>
      </c>
      <c r="C242" s="4" t="s">
        <v>1404</v>
      </c>
      <c r="D242" s="29" t="s">
        <v>1852</v>
      </c>
      <c r="E242" t="str">
        <f t="shared" si="6"/>
        <v>No</v>
      </c>
      <c r="F242" s="25"/>
      <c r="G242" s="24" t="b">
        <f t="shared" si="7"/>
        <v>0</v>
      </c>
    </row>
    <row r="243" spans="1:7" x14ac:dyDescent="0.3">
      <c r="A243" s="6" t="s">
        <v>1966</v>
      </c>
      <c r="B243" s="4" t="s">
        <v>1967</v>
      </c>
      <c r="C243" s="4" t="s">
        <v>1404</v>
      </c>
      <c r="D243" s="29" t="s">
        <v>1852</v>
      </c>
      <c r="E243" t="str">
        <f t="shared" si="6"/>
        <v>No</v>
      </c>
      <c r="F243" s="25"/>
      <c r="G243" s="24" t="b">
        <f t="shared" si="7"/>
        <v>0</v>
      </c>
    </row>
    <row r="244" spans="1:7" x14ac:dyDescent="0.3">
      <c r="A244" s="6" t="s">
        <v>1968</v>
      </c>
      <c r="B244" s="4" t="s">
        <v>1969</v>
      </c>
      <c r="C244" s="4" t="s">
        <v>1468</v>
      </c>
      <c r="D244" s="29" t="s">
        <v>1469</v>
      </c>
      <c r="E244" t="str">
        <f t="shared" si="6"/>
        <v>No</v>
      </c>
      <c r="F244" s="25"/>
      <c r="G244" s="24" t="b">
        <f t="shared" si="7"/>
        <v>0</v>
      </c>
    </row>
    <row r="245" spans="1:7" x14ac:dyDescent="0.3">
      <c r="A245" s="6" t="s">
        <v>1970</v>
      </c>
      <c r="B245" s="4" t="s">
        <v>1971</v>
      </c>
      <c r="C245" s="4" t="s">
        <v>1477</v>
      </c>
      <c r="D245" s="29" t="s">
        <v>1478</v>
      </c>
      <c r="E245" t="str">
        <f t="shared" si="6"/>
        <v>No</v>
      </c>
      <c r="F245" s="25"/>
      <c r="G245" s="24" t="b">
        <f t="shared" si="7"/>
        <v>0</v>
      </c>
    </row>
    <row r="246" spans="1:7" x14ac:dyDescent="0.3">
      <c r="A246" s="6" t="s">
        <v>1972</v>
      </c>
      <c r="B246" s="4" t="s">
        <v>1973</v>
      </c>
      <c r="C246" s="4" t="s">
        <v>1716</v>
      </c>
      <c r="D246" s="29" t="s">
        <v>1974</v>
      </c>
      <c r="E246" t="str">
        <f t="shared" si="6"/>
        <v>No</v>
      </c>
      <c r="F246" s="25"/>
      <c r="G246" s="24" t="b">
        <f t="shared" si="7"/>
        <v>0</v>
      </c>
    </row>
    <row r="247" spans="1:7" x14ac:dyDescent="0.3">
      <c r="A247" s="6" t="s">
        <v>1975</v>
      </c>
      <c r="B247" s="4" t="s">
        <v>1976</v>
      </c>
      <c r="C247" s="4" t="s">
        <v>1855</v>
      </c>
      <c r="D247" s="29" t="s">
        <v>1977</v>
      </c>
      <c r="E247" t="str">
        <f t="shared" si="6"/>
        <v>No</v>
      </c>
      <c r="F247" s="25"/>
      <c r="G247" s="24" t="b">
        <f t="shared" si="7"/>
        <v>0</v>
      </c>
    </row>
    <row r="248" spans="1:7" x14ac:dyDescent="0.3">
      <c r="A248" s="6" t="s">
        <v>1978</v>
      </c>
      <c r="B248" s="4" t="s">
        <v>1979</v>
      </c>
      <c r="C248" s="4" t="s">
        <v>1980</v>
      </c>
      <c r="D248" s="29" t="s">
        <v>1981</v>
      </c>
      <c r="E248" t="str">
        <f t="shared" si="6"/>
        <v>No</v>
      </c>
      <c r="F248" s="25"/>
      <c r="G248" s="24" t="b">
        <f t="shared" si="7"/>
        <v>0</v>
      </c>
    </row>
    <row r="249" spans="1:7" x14ac:dyDescent="0.3">
      <c r="A249" s="6" t="s">
        <v>1982</v>
      </c>
      <c r="B249" s="4" t="s">
        <v>1983</v>
      </c>
      <c r="C249" s="4" t="s">
        <v>1984</v>
      </c>
      <c r="D249" s="29" t="s">
        <v>1673</v>
      </c>
      <c r="E249" t="str">
        <f t="shared" si="6"/>
        <v>No</v>
      </c>
      <c r="F249" s="25"/>
      <c r="G249" s="24" t="b">
        <f t="shared" si="7"/>
        <v>0</v>
      </c>
    </row>
    <row r="250" spans="1:7" x14ac:dyDescent="0.3">
      <c r="A250" s="6" t="s">
        <v>1985</v>
      </c>
      <c r="B250" s="4" t="s">
        <v>1986</v>
      </c>
      <c r="C250" s="4" t="s">
        <v>1987</v>
      </c>
      <c r="D250" s="29" t="s">
        <v>1988</v>
      </c>
      <c r="E250" t="str">
        <f t="shared" si="6"/>
        <v>No</v>
      </c>
      <c r="F250" s="25"/>
      <c r="G250" s="24" t="b">
        <f t="shared" si="7"/>
        <v>0</v>
      </c>
    </row>
    <row r="251" spans="1:7" x14ac:dyDescent="0.3">
      <c r="A251" s="6" t="s">
        <v>1989</v>
      </c>
      <c r="B251" s="4" t="s">
        <v>1990</v>
      </c>
      <c r="C251" s="4" t="s">
        <v>1991</v>
      </c>
      <c r="D251" s="29" t="s">
        <v>1992</v>
      </c>
      <c r="E251" t="str">
        <f t="shared" si="6"/>
        <v>No</v>
      </c>
      <c r="F251" s="25"/>
      <c r="G251" s="24" t="b">
        <f t="shared" si="7"/>
        <v>0</v>
      </c>
    </row>
    <row r="252" spans="1:7" x14ac:dyDescent="0.3">
      <c r="A252" s="6" t="s">
        <v>1993</v>
      </c>
      <c r="B252" s="4" t="s">
        <v>1664</v>
      </c>
      <c r="C252" s="4" t="s">
        <v>1108</v>
      </c>
      <c r="D252" s="29" t="s">
        <v>1665</v>
      </c>
      <c r="E252" t="str">
        <f t="shared" si="6"/>
        <v>No</v>
      </c>
      <c r="F252" s="25"/>
      <c r="G252" s="24" t="b">
        <f t="shared" si="7"/>
        <v>0</v>
      </c>
    </row>
    <row r="253" spans="1:7" x14ac:dyDescent="0.3">
      <c r="A253" s="6" t="s">
        <v>1994</v>
      </c>
      <c r="B253" s="4" t="s">
        <v>1669</v>
      </c>
      <c r="C253" s="4" t="s">
        <v>1108</v>
      </c>
      <c r="D253" s="29" t="s">
        <v>1543</v>
      </c>
      <c r="E253" t="str">
        <f t="shared" si="6"/>
        <v>No</v>
      </c>
      <c r="F253" s="25"/>
      <c r="G253" s="24" t="b">
        <f t="shared" si="7"/>
        <v>0</v>
      </c>
    </row>
    <row r="254" spans="1:7" x14ac:dyDescent="0.3">
      <c r="A254" s="6" t="s">
        <v>1995</v>
      </c>
      <c r="B254" s="4" t="s">
        <v>1072</v>
      </c>
      <c r="C254" s="4" t="s">
        <v>1102</v>
      </c>
      <c r="D254" s="29" t="s">
        <v>1673</v>
      </c>
      <c r="E254" t="str">
        <f t="shared" si="6"/>
        <v>No</v>
      </c>
      <c r="F254" s="25"/>
      <c r="G254" s="24" t="b">
        <f t="shared" si="7"/>
        <v>0</v>
      </c>
    </row>
    <row r="255" spans="1:7" x14ac:dyDescent="0.3">
      <c r="A255" s="6" t="s">
        <v>1996</v>
      </c>
      <c r="B255" s="4" t="s">
        <v>1677</v>
      </c>
      <c r="C255" s="4" t="s">
        <v>1102</v>
      </c>
      <c r="D255" s="29" t="s">
        <v>1519</v>
      </c>
      <c r="E255" t="str">
        <f t="shared" si="6"/>
        <v>No</v>
      </c>
      <c r="F255" s="25"/>
      <c r="G255" s="24" t="b">
        <f t="shared" si="7"/>
        <v>0</v>
      </c>
    </row>
    <row r="256" spans="1:7" x14ac:dyDescent="0.3">
      <c r="A256" s="6" t="s">
        <v>1997</v>
      </c>
      <c r="B256" s="4" t="s">
        <v>1679</v>
      </c>
      <c r="C256" s="4" t="s">
        <v>1102</v>
      </c>
      <c r="D256" s="29" t="s">
        <v>1519</v>
      </c>
      <c r="E256" t="str">
        <f t="shared" si="6"/>
        <v>No</v>
      </c>
      <c r="F256" s="25"/>
      <c r="G256" s="24" t="b">
        <f t="shared" si="7"/>
        <v>0</v>
      </c>
    </row>
    <row r="257" spans="1:7" x14ac:dyDescent="0.3">
      <c r="A257" s="6" t="s">
        <v>1998</v>
      </c>
      <c r="B257" s="4" t="s">
        <v>1689</v>
      </c>
      <c r="C257" s="4" t="s">
        <v>1102</v>
      </c>
      <c r="D257" s="29" t="s">
        <v>1690</v>
      </c>
      <c r="E257" t="str">
        <f t="shared" si="6"/>
        <v>No</v>
      </c>
      <c r="F257" s="25"/>
      <c r="G257" s="24" t="b">
        <f t="shared" si="7"/>
        <v>0</v>
      </c>
    </row>
    <row r="258" spans="1:7" x14ac:dyDescent="0.3">
      <c r="A258" s="6" t="s">
        <v>1999</v>
      </c>
      <c r="B258" s="4" t="s">
        <v>1692</v>
      </c>
      <c r="C258" s="4" t="s">
        <v>1102</v>
      </c>
      <c r="D258" s="29" t="s">
        <v>1693</v>
      </c>
      <c r="E258" t="str">
        <f t="shared" ref="E258:E321" si="8">IF(F258, "YES", "No")</f>
        <v>No</v>
      </c>
      <c r="F258" s="25"/>
      <c r="G258" s="24" t="b">
        <f t="shared" ref="G258:G321" si="9">IF(COUNTIF($J$3:$J$100, B258) &gt; 0, TRUE, FALSE)</f>
        <v>0</v>
      </c>
    </row>
    <row r="259" spans="1:7" x14ac:dyDescent="0.3">
      <c r="A259" s="6" t="s">
        <v>2000</v>
      </c>
      <c r="B259" s="4" t="s">
        <v>1695</v>
      </c>
      <c r="C259" s="4" t="s">
        <v>1102</v>
      </c>
      <c r="D259" s="29" t="s">
        <v>1581</v>
      </c>
      <c r="E259" t="str">
        <f t="shared" si="8"/>
        <v>No</v>
      </c>
      <c r="F259" s="25"/>
      <c r="G259" s="24" t="b">
        <f t="shared" si="9"/>
        <v>0</v>
      </c>
    </row>
    <row r="260" spans="1:7" x14ac:dyDescent="0.3">
      <c r="A260" s="6" t="s">
        <v>2001</v>
      </c>
      <c r="B260" s="4" t="s">
        <v>1697</v>
      </c>
      <c r="C260" s="4" t="s">
        <v>1102</v>
      </c>
      <c r="D260" s="29" t="s">
        <v>1581</v>
      </c>
      <c r="E260" t="str">
        <f t="shared" si="8"/>
        <v>No</v>
      </c>
      <c r="F260" s="25"/>
      <c r="G260" s="24" t="b">
        <f t="shared" si="9"/>
        <v>0</v>
      </c>
    </row>
    <row r="261" spans="1:7" x14ac:dyDescent="0.3">
      <c r="A261" s="6" t="s">
        <v>2002</v>
      </c>
      <c r="B261" s="4" t="s">
        <v>2003</v>
      </c>
      <c r="C261" s="4" t="s">
        <v>2004</v>
      </c>
      <c r="D261" s="29" t="s">
        <v>2005</v>
      </c>
      <c r="E261" t="str">
        <f t="shared" si="8"/>
        <v>No</v>
      </c>
      <c r="F261" s="25"/>
      <c r="G261" s="24" t="b">
        <f t="shared" si="9"/>
        <v>0</v>
      </c>
    </row>
    <row r="262" spans="1:7" x14ac:dyDescent="0.3">
      <c r="A262" s="6" t="s">
        <v>2006</v>
      </c>
      <c r="B262" s="4" t="s">
        <v>2007</v>
      </c>
      <c r="C262" s="4" t="s">
        <v>1773</v>
      </c>
      <c r="D262" s="29" t="s">
        <v>2008</v>
      </c>
      <c r="E262" t="str">
        <f t="shared" si="8"/>
        <v>No</v>
      </c>
      <c r="F262" s="25"/>
      <c r="G262" s="24" t="b">
        <f t="shared" si="9"/>
        <v>0</v>
      </c>
    </row>
    <row r="263" spans="1:7" x14ac:dyDescent="0.3">
      <c r="A263" s="6" t="s">
        <v>2009</v>
      </c>
      <c r="B263" s="4" t="s">
        <v>2010</v>
      </c>
      <c r="C263" s="4" t="s">
        <v>1858</v>
      </c>
      <c r="D263" s="29" t="s">
        <v>2011</v>
      </c>
      <c r="E263" t="str">
        <f t="shared" si="8"/>
        <v>No</v>
      </c>
      <c r="F263" s="25"/>
      <c r="G263" s="24" t="b">
        <f t="shared" si="9"/>
        <v>0</v>
      </c>
    </row>
    <row r="264" spans="1:7" x14ac:dyDescent="0.3">
      <c r="A264" s="6" t="s">
        <v>2012</v>
      </c>
      <c r="B264" s="4" t="s">
        <v>2013</v>
      </c>
      <c r="C264" s="4" t="s">
        <v>2004</v>
      </c>
      <c r="D264" s="29" t="s">
        <v>2005</v>
      </c>
      <c r="E264" t="str">
        <f t="shared" si="8"/>
        <v>No</v>
      </c>
      <c r="F264" s="25"/>
      <c r="G264" s="24" t="b">
        <f t="shared" si="9"/>
        <v>0</v>
      </c>
    </row>
    <row r="265" spans="1:7" x14ac:dyDescent="0.3">
      <c r="A265" s="6" t="s">
        <v>2014</v>
      </c>
      <c r="B265" s="4" t="s">
        <v>2015</v>
      </c>
      <c r="C265" s="4" t="s">
        <v>2004</v>
      </c>
      <c r="D265" s="29" t="s">
        <v>2005</v>
      </c>
      <c r="E265" t="str">
        <f t="shared" si="8"/>
        <v>No</v>
      </c>
      <c r="F265" s="25"/>
      <c r="G265" s="24" t="b">
        <f t="shared" si="9"/>
        <v>0</v>
      </c>
    </row>
    <row r="266" spans="1:7" x14ac:dyDescent="0.3">
      <c r="A266" s="6" t="s">
        <v>2016</v>
      </c>
      <c r="B266" s="4" t="s">
        <v>1419</v>
      </c>
      <c r="C266" s="4" t="s">
        <v>2017</v>
      </c>
      <c r="D266" s="29" t="s">
        <v>2018</v>
      </c>
      <c r="E266" t="str">
        <f t="shared" si="8"/>
        <v>YES</v>
      </c>
      <c r="F266" s="25" t="b">
        <v>1</v>
      </c>
      <c r="G266" s="24" t="b">
        <f t="shared" si="9"/>
        <v>1</v>
      </c>
    </row>
    <row r="267" spans="1:7" x14ac:dyDescent="0.3">
      <c r="A267" s="6" t="s">
        <v>2019</v>
      </c>
      <c r="B267" s="4" t="s">
        <v>2020</v>
      </c>
      <c r="C267" s="4" t="s">
        <v>2017</v>
      </c>
      <c r="D267" s="29" t="s">
        <v>2018</v>
      </c>
      <c r="E267" t="str">
        <f t="shared" si="8"/>
        <v>No</v>
      </c>
      <c r="F267" s="25"/>
      <c r="G267" s="24" t="b">
        <f t="shared" si="9"/>
        <v>0</v>
      </c>
    </row>
    <row r="268" spans="1:7" x14ac:dyDescent="0.3">
      <c r="A268" s="6" t="s">
        <v>2021</v>
      </c>
      <c r="B268" s="4" t="s">
        <v>2022</v>
      </c>
      <c r="C268" s="4" t="s">
        <v>1716</v>
      </c>
      <c r="D268" s="29" t="s">
        <v>1540</v>
      </c>
      <c r="E268" t="str">
        <f t="shared" si="8"/>
        <v>No</v>
      </c>
      <c r="F268" s="25"/>
      <c r="G268" s="24" t="b">
        <f t="shared" si="9"/>
        <v>0</v>
      </c>
    </row>
    <row r="269" spans="1:7" x14ac:dyDescent="0.3">
      <c r="A269" s="6" t="s">
        <v>2023</v>
      </c>
      <c r="B269" s="4" t="s">
        <v>2024</v>
      </c>
      <c r="C269" s="4" t="s">
        <v>1858</v>
      </c>
      <c r="D269" s="29" t="s">
        <v>2025</v>
      </c>
      <c r="E269" t="str">
        <f t="shared" si="8"/>
        <v>No</v>
      </c>
      <c r="F269" s="25"/>
      <c r="G269" s="24" t="b">
        <f t="shared" si="9"/>
        <v>0</v>
      </c>
    </row>
    <row r="270" spans="1:7" x14ac:dyDescent="0.3">
      <c r="A270" s="6" t="s">
        <v>2026</v>
      </c>
      <c r="B270" s="4" t="s">
        <v>2027</v>
      </c>
      <c r="C270" s="4" t="s">
        <v>2028</v>
      </c>
      <c r="D270" s="29" t="s">
        <v>1552</v>
      </c>
      <c r="E270" t="str">
        <f t="shared" si="8"/>
        <v>No</v>
      </c>
      <c r="F270" s="25"/>
      <c r="G270" s="24" t="b">
        <f t="shared" si="9"/>
        <v>0</v>
      </c>
    </row>
    <row r="271" spans="1:7" x14ac:dyDescent="0.3">
      <c r="A271" s="6" t="s">
        <v>2029</v>
      </c>
      <c r="B271" s="4" t="s">
        <v>2030</v>
      </c>
      <c r="C271" s="4" t="s">
        <v>1795</v>
      </c>
      <c r="D271" s="29" t="s">
        <v>1648</v>
      </c>
      <c r="E271" t="str">
        <f t="shared" si="8"/>
        <v>No</v>
      </c>
      <c r="F271" s="25"/>
      <c r="G271" s="24" t="b">
        <f t="shared" si="9"/>
        <v>0</v>
      </c>
    </row>
    <row r="272" spans="1:7" x14ac:dyDescent="0.3">
      <c r="A272" s="6" t="s">
        <v>2031</v>
      </c>
      <c r="B272" s="4" t="s">
        <v>2032</v>
      </c>
      <c r="C272" s="4" t="s">
        <v>1795</v>
      </c>
      <c r="D272" s="29" t="s">
        <v>1796</v>
      </c>
      <c r="E272" t="str">
        <f t="shared" si="8"/>
        <v>No</v>
      </c>
      <c r="F272" s="25"/>
      <c r="G272" s="24" t="b">
        <f t="shared" si="9"/>
        <v>0</v>
      </c>
    </row>
    <row r="273" spans="1:7" x14ac:dyDescent="0.3">
      <c r="A273" s="6" t="s">
        <v>2033</v>
      </c>
      <c r="B273" s="4" t="s">
        <v>2034</v>
      </c>
      <c r="C273" s="4" t="s">
        <v>2035</v>
      </c>
      <c r="D273" s="29" t="s">
        <v>2036</v>
      </c>
      <c r="E273" t="str">
        <f t="shared" si="8"/>
        <v>No</v>
      </c>
      <c r="F273" s="25"/>
      <c r="G273" s="24" t="b">
        <f t="shared" si="9"/>
        <v>0</v>
      </c>
    </row>
    <row r="274" spans="1:7" x14ac:dyDescent="0.3">
      <c r="A274" s="6" t="s">
        <v>2037</v>
      </c>
      <c r="B274" s="4" t="s">
        <v>2038</v>
      </c>
      <c r="C274" s="4" t="s">
        <v>1404</v>
      </c>
      <c r="D274" s="29" t="s">
        <v>1816</v>
      </c>
      <c r="E274" t="str">
        <f t="shared" si="8"/>
        <v>No</v>
      </c>
      <c r="F274" s="25"/>
      <c r="G274" s="24" t="b">
        <f t="shared" si="9"/>
        <v>0</v>
      </c>
    </row>
    <row r="275" spans="1:7" x14ac:dyDescent="0.3">
      <c r="A275" s="6" t="s">
        <v>2039</v>
      </c>
      <c r="B275" s="4" t="s">
        <v>2040</v>
      </c>
      <c r="C275" s="4" t="s">
        <v>2041</v>
      </c>
      <c r="D275" s="29" t="s">
        <v>2042</v>
      </c>
      <c r="E275" t="str">
        <f t="shared" si="8"/>
        <v>No</v>
      </c>
      <c r="F275" s="25"/>
      <c r="G275" s="24" t="b">
        <f t="shared" si="9"/>
        <v>0</v>
      </c>
    </row>
    <row r="276" spans="1:7" x14ac:dyDescent="0.3">
      <c r="A276" s="6" t="s">
        <v>2043</v>
      </c>
      <c r="B276" s="4" t="s">
        <v>2044</v>
      </c>
      <c r="C276" s="4" t="s">
        <v>1991</v>
      </c>
      <c r="D276" s="29" t="s">
        <v>2045</v>
      </c>
      <c r="E276" t="str">
        <f t="shared" si="8"/>
        <v>No</v>
      </c>
      <c r="F276" s="25"/>
      <c r="G276" s="24" t="b">
        <f t="shared" si="9"/>
        <v>0</v>
      </c>
    </row>
    <row r="277" spans="1:7" x14ac:dyDescent="0.3">
      <c r="A277" s="6" t="s">
        <v>2046</v>
      </c>
      <c r="B277" s="4" t="s">
        <v>2047</v>
      </c>
      <c r="C277" s="4" t="s">
        <v>1991</v>
      </c>
      <c r="D277" s="29" t="s">
        <v>2045</v>
      </c>
      <c r="E277" t="str">
        <f t="shared" si="8"/>
        <v>No</v>
      </c>
      <c r="F277" s="25"/>
      <c r="G277" s="24" t="b">
        <f t="shared" si="9"/>
        <v>0</v>
      </c>
    </row>
    <row r="278" spans="1:7" x14ac:dyDescent="0.3">
      <c r="A278" s="6" t="s">
        <v>2048</v>
      </c>
      <c r="B278" s="4" t="s">
        <v>2049</v>
      </c>
      <c r="C278" s="4" t="s">
        <v>2050</v>
      </c>
      <c r="D278" s="29" t="s">
        <v>2051</v>
      </c>
      <c r="E278" t="str">
        <f t="shared" si="8"/>
        <v>No</v>
      </c>
      <c r="F278" s="25"/>
      <c r="G278" s="24" t="b">
        <f t="shared" si="9"/>
        <v>0</v>
      </c>
    </row>
    <row r="279" spans="1:7" x14ac:dyDescent="0.3">
      <c r="A279" s="6" t="s">
        <v>2052</v>
      </c>
      <c r="B279" s="4" t="s">
        <v>2053</v>
      </c>
      <c r="C279" s="4" t="s">
        <v>1991</v>
      </c>
      <c r="D279" s="29" t="s">
        <v>2045</v>
      </c>
      <c r="E279" t="str">
        <f t="shared" si="8"/>
        <v>No</v>
      </c>
      <c r="F279" s="25"/>
      <c r="G279" s="24" t="b">
        <f t="shared" si="9"/>
        <v>0</v>
      </c>
    </row>
    <row r="280" spans="1:7" x14ac:dyDescent="0.3">
      <c r="A280" s="6" t="s">
        <v>2054</v>
      </c>
      <c r="B280" s="4" t="s">
        <v>2055</v>
      </c>
      <c r="C280" s="4" t="s">
        <v>1404</v>
      </c>
      <c r="D280" s="29" t="s">
        <v>1816</v>
      </c>
      <c r="E280" t="str">
        <f t="shared" si="8"/>
        <v>No</v>
      </c>
      <c r="F280" s="25"/>
      <c r="G280" s="24" t="b">
        <f t="shared" si="9"/>
        <v>0</v>
      </c>
    </row>
    <row r="281" spans="1:7" x14ac:dyDescent="0.3">
      <c r="A281" s="6" t="s">
        <v>2056</v>
      </c>
      <c r="B281" s="4" t="s">
        <v>2057</v>
      </c>
      <c r="C281" s="4" t="s">
        <v>1477</v>
      </c>
      <c r="D281" s="29" t="s">
        <v>1581</v>
      </c>
      <c r="E281" t="str">
        <f t="shared" si="8"/>
        <v>No</v>
      </c>
      <c r="F281" s="25"/>
      <c r="G281" s="24" t="b">
        <f t="shared" si="9"/>
        <v>0</v>
      </c>
    </row>
    <row r="282" spans="1:7" x14ac:dyDescent="0.3">
      <c r="A282" s="6" t="s">
        <v>2058</v>
      </c>
      <c r="B282" s="4" t="s">
        <v>2059</v>
      </c>
      <c r="C282" s="4" t="s">
        <v>1477</v>
      </c>
      <c r="D282" s="29" t="s">
        <v>1581</v>
      </c>
      <c r="E282" t="str">
        <f t="shared" si="8"/>
        <v>No</v>
      </c>
      <c r="F282" s="25"/>
      <c r="G282" s="24" t="b">
        <f t="shared" si="9"/>
        <v>0</v>
      </c>
    </row>
    <row r="283" spans="1:7" x14ac:dyDescent="0.3">
      <c r="A283" s="6" t="s">
        <v>2060</v>
      </c>
      <c r="B283" s="4" t="s">
        <v>2061</v>
      </c>
      <c r="C283" s="4" t="s">
        <v>1477</v>
      </c>
      <c r="D283" s="29" t="s">
        <v>1478</v>
      </c>
      <c r="E283" t="str">
        <f t="shared" si="8"/>
        <v>No</v>
      </c>
      <c r="F283" s="25"/>
      <c r="G283" s="24" t="b">
        <f t="shared" si="9"/>
        <v>0</v>
      </c>
    </row>
    <row r="284" spans="1:7" x14ac:dyDescent="0.3">
      <c r="A284" s="6" t="s">
        <v>2062</v>
      </c>
      <c r="B284" s="4" t="s">
        <v>2063</v>
      </c>
      <c r="C284" s="4" t="s">
        <v>2064</v>
      </c>
      <c r="D284" s="29" t="s">
        <v>2065</v>
      </c>
      <c r="E284" t="str">
        <f t="shared" si="8"/>
        <v>No</v>
      </c>
      <c r="F284" s="25"/>
      <c r="G284" s="24" t="b">
        <f t="shared" si="9"/>
        <v>0</v>
      </c>
    </row>
    <row r="285" spans="1:7" x14ac:dyDescent="0.3">
      <c r="A285" s="6" t="s">
        <v>2066</v>
      </c>
      <c r="B285" s="4" t="s">
        <v>2067</v>
      </c>
      <c r="C285" s="4" t="s">
        <v>2064</v>
      </c>
      <c r="D285" s="29" t="s">
        <v>2068</v>
      </c>
      <c r="E285" t="str">
        <f t="shared" si="8"/>
        <v>No</v>
      </c>
      <c r="F285" s="25"/>
      <c r="G285" s="24" t="b">
        <f t="shared" si="9"/>
        <v>0</v>
      </c>
    </row>
    <row r="286" spans="1:7" x14ac:dyDescent="0.3">
      <c r="A286" s="6" t="s">
        <v>2069</v>
      </c>
      <c r="B286" s="4" t="s">
        <v>2070</v>
      </c>
      <c r="C286" s="4" t="s">
        <v>1980</v>
      </c>
      <c r="D286" s="29" t="s">
        <v>1981</v>
      </c>
      <c r="E286" t="str">
        <f t="shared" si="8"/>
        <v>No</v>
      </c>
      <c r="F286" s="25"/>
      <c r="G286" s="24" t="b">
        <f t="shared" si="9"/>
        <v>0</v>
      </c>
    </row>
    <row r="287" spans="1:7" x14ac:dyDescent="0.3">
      <c r="A287" s="6" t="s">
        <v>2071</v>
      </c>
      <c r="B287" s="4" t="s">
        <v>2072</v>
      </c>
      <c r="C287" s="4" t="s">
        <v>1584</v>
      </c>
      <c r="D287" s="29" t="s">
        <v>2073</v>
      </c>
      <c r="E287" t="str">
        <f t="shared" si="8"/>
        <v>No</v>
      </c>
      <c r="F287" s="25"/>
      <c r="G287" s="24" t="b">
        <f t="shared" si="9"/>
        <v>0</v>
      </c>
    </row>
    <row r="288" spans="1:7" x14ac:dyDescent="0.3">
      <c r="A288" s="6" t="s">
        <v>2074</v>
      </c>
      <c r="B288" s="4" t="s">
        <v>2075</v>
      </c>
      <c r="C288" s="4" t="s">
        <v>1477</v>
      </c>
      <c r="D288" s="29" t="s">
        <v>2076</v>
      </c>
      <c r="E288" t="str">
        <f t="shared" si="8"/>
        <v>No</v>
      </c>
      <c r="F288" s="25"/>
      <c r="G288" s="24" t="b">
        <f t="shared" si="9"/>
        <v>0</v>
      </c>
    </row>
    <row r="289" spans="1:7" x14ac:dyDescent="0.3">
      <c r="A289" s="6" t="s">
        <v>2077</v>
      </c>
      <c r="B289" s="4" t="s">
        <v>2078</v>
      </c>
      <c r="C289" s="4" t="s">
        <v>1477</v>
      </c>
      <c r="D289" s="29" t="s">
        <v>1543</v>
      </c>
      <c r="E289" t="str">
        <f t="shared" si="8"/>
        <v>No</v>
      </c>
      <c r="F289" s="25"/>
      <c r="G289" s="24" t="b">
        <f t="shared" si="9"/>
        <v>0</v>
      </c>
    </row>
    <row r="290" spans="1:7" x14ac:dyDescent="0.3">
      <c r="A290" s="6" t="s">
        <v>2079</v>
      </c>
      <c r="B290" s="4" t="s">
        <v>2080</v>
      </c>
      <c r="C290" s="4" t="s">
        <v>1584</v>
      </c>
      <c r="D290" s="29" t="s">
        <v>2073</v>
      </c>
      <c r="E290" t="str">
        <f t="shared" si="8"/>
        <v>No</v>
      </c>
      <c r="F290" s="25"/>
      <c r="G290" s="24" t="b">
        <f t="shared" si="9"/>
        <v>0</v>
      </c>
    </row>
    <row r="291" spans="1:7" x14ac:dyDescent="0.3">
      <c r="A291" s="6" t="s">
        <v>2081</v>
      </c>
      <c r="B291" s="4" t="s">
        <v>2082</v>
      </c>
      <c r="C291" s="4" t="s">
        <v>2041</v>
      </c>
      <c r="D291" s="29" t="s">
        <v>2083</v>
      </c>
      <c r="E291" t="str">
        <f t="shared" si="8"/>
        <v>No</v>
      </c>
      <c r="F291" s="25"/>
      <c r="G291" s="24" t="b">
        <f t="shared" si="9"/>
        <v>0</v>
      </c>
    </row>
    <row r="292" spans="1:7" x14ac:dyDescent="0.3">
      <c r="A292" s="6" t="s">
        <v>2084</v>
      </c>
      <c r="B292" s="4" t="s">
        <v>2085</v>
      </c>
      <c r="C292" s="4" t="s">
        <v>1867</v>
      </c>
      <c r="D292" s="29" t="s">
        <v>1868</v>
      </c>
      <c r="E292" t="str">
        <f t="shared" si="8"/>
        <v>No</v>
      </c>
      <c r="F292" s="25"/>
      <c r="G292" s="24" t="b">
        <f t="shared" si="9"/>
        <v>0</v>
      </c>
    </row>
    <row r="293" spans="1:7" x14ac:dyDescent="0.3">
      <c r="A293" s="6" t="s">
        <v>2086</v>
      </c>
      <c r="B293" s="4" t="s">
        <v>2087</v>
      </c>
      <c r="C293" s="4" t="s">
        <v>1991</v>
      </c>
      <c r="D293" s="29" t="s">
        <v>2088</v>
      </c>
      <c r="E293" t="str">
        <f t="shared" si="8"/>
        <v>No</v>
      </c>
      <c r="F293" s="25"/>
      <c r="G293" s="24" t="b">
        <f t="shared" si="9"/>
        <v>0</v>
      </c>
    </row>
    <row r="294" spans="1:7" x14ac:dyDescent="0.3">
      <c r="A294" s="6" t="s">
        <v>2089</v>
      </c>
      <c r="B294" s="4" t="s">
        <v>2090</v>
      </c>
      <c r="C294" s="4" t="s">
        <v>1991</v>
      </c>
      <c r="D294" s="29" t="s">
        <v>2088</v>
      </c>
      <c r="E294" t="str">
        <f t="shared" si="8"/>
        <v>No</v>
      </c>
      <c r="F294" s="25"/>
      <c r="G294" s="24" t="b">
        <f t="shared" si="9"/>
        <v>0</v>
      </c>
    </row>
    <row r="295" spans="1:7" x14ac:dyDescent="0.3">
      <c r="A295" s="6" t="s">
        <v>2091</v>
      </c>
      <c r="B295" s="4" t="s">
        <v>2092</v>
      </c>
      <c r="C295" s="4" t="s">
        <v>1991</v>
      </c>
      <c r="D295" s="29" t="s">
        <v>1796</v>
      </c>
      <c r="E295" t="str">
        <f t="shared" si="8"/>
        <v>No</v>
      </c>
      <c r="F295" s="25"/>
      <c r="G295" s="24" t="b">
        <f t="shared" si="9"/>
        <v>0</v>
      </c>
    </row>
    <row r="296" spans="1:7" x14ac:dyDescent="0.3">
      <c r="A296" s="6" t="s">
        <v>2093</v>
      </c>
      <c r="B296" s="4" t="s">
        <v>2094</v>
      </c>
      <c r="C296" s="4" t="s">
        <v>1477</v>
      </c>
      <c r="D296" s="29" t="s">
        <v>1613</v>
      </c>
      <c r="E296" t="str">
        <f t="shared" si="8"/>
        <v>No</v>
      </c>
      <c r="F296" s="25"/>
      <c r="G296" s="24" t="b">
        <f t="shared" si="9"/>
        <v>0</v>
      </c>
    </row>
    <row r="297" spans="1:7" x14ac:dyDescent="0.3">
      <c r="A297" s="6" t="s">
        <v>2095</v>
      </c>
      <c r="B297" s="4" t="s">
        <v>2096</v>
      </c>
      <c r="C297" s="4" t="s">
        <v>1477</v>
      </c>
      <c r="D297" s="29" t="s">
        <v>1613</v>
      </c>
      <c r="E297" t="str">
        <f t="shared" si="8"/>
        <v>No</v>
      </c>
      <c r="F297" s="25"/>
      <c r="G297" s="24" t="b">
        <f t="shared" si="9"/>
        <v>0</v>
      </c>
    </row>
    <row r="298" spans="1:7" x14ac:dyDescent="0.3">
      <c r="A298" s="6" t="s">
        <v>2097</v>
      </c>
      <c r="B298" s="4" t="s">
        <v>177</v>
      </c>
      <c r="C298" s="4" t="s">
        <v>1941</v>
      </c>
      <c r="D298" s="29" t="s">
        <v>1516</v>
      </c>
      <c r="E298" t="str">
        <f t="shared" si="8"/>
        <v>No</v>
      </c>
      <c r="F298" s="25"/>
      <c r="G298" s="24" t="b">
        <f t="shared" si="9"/>
        <v>0</v>
      </c>
    </row>
    <row r="299" spans="1:7" x14ac:dyDescent="0.3">
      <c r="A299" s="6" t="s">
        <v>2098</v>
      </c>
      <c r="B299" s="4" t="s">
        <v>2099</v>
      </c>
      <c r="C299" s="4" t="s">
        <v>1477</v>
      </c>
      <c r="D299" s="29" t="s">
        <v>2100</v>
      </c>
      <c r="E299" t="str">
        <f t="shared" si="8"/>
        <v>No</v>
      </c>
      <c r="F299" s="25"/>
      <c r="G299" s="24" t="b">
        <f t="shared" si="9"/>
        <v>0</v>
      </c>
    </row>
    <row r="300" spans="1:7" x14ac:dyDescent="0.3">
      <c r="A300" s="6" t="s">
        <v>2101</v>
      </c>
      <c r="B300" s="4" t="s">
        <v>2102</v>
      </c>
      <c r="C300" s="4" t="s">
        <v>2064</v>
      </c>
      <c r="D300" s="29" t="s">
        <v>2103</v>
      </c>
      <c r="E300" t="str">
        <f t="shared" si="8"/>
        <v>No</v>
      </c>
      <c r="F300" s="25"/>
      <c r="G300" s="24" t="b">
        <f t="shared" si="9"/>
        <v>0</v>
      </c>
    </row>
    <row r="301" spans="1:7" x14ac:dyDescent="0.3">
      <c r="A301" s="6" t="s">
        <v>2104</v>
      </c>
      <c r="B301" s="4" t="s">
        <v>2105</v>
      </c>
      <c r="C301" s="4" t="s">
        <v>1855</v>
      </c>
      <c r="D301" s="29" t="s">
        <v>1955</v>
      </c>
      <c r="E301" t="str">
        <f t="shared" si="8"/>
        <v>No</v>
      </c>
      <c r="F301" s="25"/>
      <c r="G301" s="24" t="b">
        <f t="shared" si="9"/>
        <v>0</v>
      </c>
    </row>
    <row r="302" spans="1:7" x14ac:dyDescent="0.3">
      <c r="A302" s="6" t="s">
        <v>2106</v>
      </c>
      <c r="B302" s="4" t="s">
        <v>2107</v>
      </c>
      <c r="C302" s="4" t="s">
        <v>1987</v>
      </c>
      <c r="D302" s="29" t="s">
        <v>1988</v>
      </c>
      <c r="E302" t="str">
        <f t="shared" si="8"/>
        <v>No</v>
      </c>
      <c r="F302" s="25"/>
      <c r="G302" s="24" t="b">
        <f t="shared" si="9"/>
        <v>0</v>
      </c>
    </row>
    <row r="303" spans="1:7" x14ac:dyDescent="0.3">
      <c r="A303" s="6" t="s">
        <v>2108</v>
      </c>
      <c r="B303" s="4" t="s">
        <v>2109</v>
      </c>
      <c r="C303" s="4" t="s">
        <v>2110</v>
      </c>
      <c r="D303" s="29" t="s">
        <v>1394</v>
      </c>
      <c r="E303" t="str">
        <f t="shared" si="8"/>
        <v>No</v>
      </c>
      <c r="F303" s="25"/>
      <c r="G303" s="24" t="b">
        <f t="shared" si="9"/>
        <v>0</v>
      </c>
    </row>
    <row r="304" spans="1:7" x14ac:dyDescent="0.3">
      <c r="A304" s="6" t="s">
        <v>2111</v>
      </c>
      <c r="B304" s="4" t="s">
        <v>2112</v>
      </c>
      <c r="C304" s="4" t="s">
        <v>2110</v>
      </c>
      <c r="D304" s="29" t="s">
        <v>2113</v>
      </c>
      <c r="E304" t="str">
        <f t="shared" si="8"/>
        <v>No</v>
      </c>
      <c r="F304" s="25"/>
      <c r="G304" s="24" t="b">
        <f t="shared" si="9"/>
        <v>0</v>
      </c>
    </row>
    <row r="305" spans="1:7" x14ac:dyDescent="0.3">
      <c r="A305" s="6" t="s">
        <v>2114</v>
      </c>
      <c r="B305" s="4" t="s">
        <v>2115</v>
      </c>
      <c r="C305" s="4" t="s">
        <v>2116</v>
      </c>
      <c r="D305" s="29" t="s">
        <v>2117</v>
      </c>
      <c r="E305" t="str">
        <f t="shared" si="8"/>
        <v>No</v>
      </c>
      <c r="F305" s="25"/>
      <c r="G305" s="24" t="b">
        <f t="shared" si="9"/>
        <v>0</v>
      </c>
    </row>
    <row r="306" spans="1:7" x14ac:dyDescent="0.3">
      <c r="A306" s="6" t="s">
        <v>2118</v>
      </c>
      <c r="B306" s="4" t="s">
        <v>2119</v>
      </c>
      <c r="C306" s="4" t="s">
        <v>1867</v>
      </c>
      <c r="D306" s="29" t="s">
        <v>1868</v>
      </c>
      <c r="E306" t="str">
        <f t="shared" si="8"/>
        <v>No</v>
      </c>
      <c r="F306" s="25"/>
      <c r="G306" s="24" t="b">
        <f t="shared" si="9"/>
        <v>0</v>
      </c>
    </row>
    <row r="307" spans="1:7" x14ac:dyDescent="0.3">
      <c r="A307" s="6" t="s">
        <v>2120</v>
      </c>
      <c r="B307" s="4" t="s">
        <v>2121</v>
      </c>
      <c r="C307" s="4" t="s">
        <v>1867</v>
      </c>
      <c r="D307" s="29" t="s">
        <v>1868</v>
      </c>
      <c r="E307" t="str">
        <f t="shared" si="8"/>
        <v>No</v>
      </c>
      <c r="F307" s="25"/>
      <c r="G307" s="24" t="b">
        <f t="shared" si="9"/>
        <v>0</v>
      </c>
    </row>
    <row r="308" spans="1:7" x14ac:dyDescent="0.3">
      <c r="A308" s="6" t="s">
        <v>2122</v>
      </c>
      <c r="B308" s="4" t="s">
        <v>2123</v>
      </c>
      <c r="C308" s="4" t="s">
        <v>1867</v>
      </c>
      <c r="D308" s="29" t="s">
        <v>1868</v>
      </c>
      <c r="E308" t="str">
        <f t="shared" si="8"/>
        <v>No</v>
      </c>
      <c r="F308" s="25"/>
      <c r="G308" s="24" t="b">
        <f t="shared" si="9"/>
        <v>0</v>
      </c>
    </row>
    <row r="309" spans="1:7" x14ac:dyDescent="0.3">
      <c r="A309" s="6" t="s">
        <v>2124</v>
      </c>
      <c r="B309" s="4" t="s">
        <v>2125</v>
      </c>
      <c r="C309" s="4" t="s">
        <v>1404</v>
      </c>
      <c r="D309" s="29" t="s">
        <v>1849</v>
      </c>
      <c r="E309" t="str">
        <f t="shared" si="8"/>
        <v>No</v>
      </c>
      <c r="F309" s="25"/>
      <c r="G309" s="24" t="b">
        <f t="shared" si="9"/>
        <v>0</v>
      </c>
    </row>
    <row r="310" spans="1:7" x14ac:dyDescent="0.3">
      <c r="A310" s="6" t="s">
        <v>2126</v>
      </c>
      <c r="B310" s="4" t="s">
        <v>2127</v>
      </c>
      <c r="C310" s="4" t="s">
        <v>1404</v>
      </c>
      <c r="D310" s="29" t="s">
        <v>1849</v>
      </c>
      <c r="E310" t="str">
        <f t="shared" si="8"/>
        <v>No</v>
      </c>
      <c r="F310" s="25"/>
      <c r="G310" s="24" t="b">
        <f t="shared" si="9"/>
        <v>0</v>
      </c>
    </row>
    <row r="311" spans="1:7" x14ac:dyDescent="0.3">
      <c r="A311" s="6" t="s">
        <v>2128</v>
      </c>
      <c r="B311" s="4" t="s">
        <v>1415</v>
      </c>
      <c r="C311" s="4" t="s">
        <v>1404</v>
      </c>
      <c r="D311" s="29" t="s">
        <v>1849</v>
      </c>
      <c r="E311" t="str">
        <f t="shared" si="8"/>
        <v>YES</v>
      </c>
      <c r="F311" s="25" t="b">
        <v>1</v>
      </c>
      <c r="G311" s="24" t="b">
        <f t="shared" si="9"/>
        <v>1</v>
      </c>
    </row>
    <row r="312" spans="1:7" x14ac:dyDescent="0.3">
      <c r="A312" s="6" t="s">
        <v>2129</v>
      </c>
      <c r="B312" s="4" t="s">
        <v>2130</v>
      </c>
      <c r="C312" s="4" t="s">
        <v>1867</v>
      </c>
      <c r="D312" s="29" t="s">
        <v>1868</v>
      </c>
      <c r="E312" t="str">
        <f t="shared" si="8"/>
        <v>No</v>
      </c>
      <c r="F312" s="25"/>
      <c r="G312" s="24" t="b">
        <f t="shared" si="9"/>
        <v>0</v>
      </c>
    </row>
    <row r="313" spans="1:7" x14ac:dyDescent="0.3">
      <c r="A313" s="6" t="s">
        <v>2131</v>
      </c>
      <c r="B313" s="4" t="s">
        <v>2132</v>
      </c>
      <c r="C313" s="4" t="s">
        <v>1867</v>
      </c>
      <c r="D313" s="29" t="s">
        <v>2133</v>
      </c>
      <c r="E313" t="str">
        <f t="shared" si="8"/>
        <v>No</v>
      </c>
      <c r="F313" s="25"/>
      <c r="G313" s="24" t="b">
        <f t="shared" si="9"/>
        <v>0</v>
      </c>
    </row>
    <row r="314" spans="1:7" x14ac:dyDescent="0.3">
      <c r="A314" s="6" t="s">
        <v>2134</v>
      </c>
      <c r="B314" s="4" t="s">
        <v>2135</v>
      </c>
      <c r="C314" s="4" t="s">
        <v>1867</v>
      </c>
      <c r="D314" s="29" t="s">
        <v>1852</v>
      </c>
      <c r="E314" t="str">
        <f t="shared" si="8"/>
        <v>No</v>
      </c>
      <c r="F314" s="25"/>
      <c r="G314" s="24" t="b">
        <f t="shared" si="9"/>
        <v>0</v>
      </c>
    </row>
    <row r="315" spans="1:7" x14ac:dyDescent="0.3">
      <c r="A315" s="6" t="s">
        <v>2136</v>
      </c>
      <c r="B315" s="4" t="s">
        <v>2137</v>
      </c>
      <c r="C315" s="4" t="s">
        <v>1867</v>
      </c>
      <c r="D315" s="29" t="s">
        <v>1852</v>
      </c>
      <c r="E315" t="str">
        <f t="shared" si="8"/>
        <v>No</v>
      </c>
      <c r="F315" s="25"/>
      <c r="G315" s="24" t="b">
        <f t="shared" si="9"/>
        <v>0</v>
      </c>
    </row>
    <row r="316" spans="1:7" x14ac:dyDescent="0.3">
      <c r="A316" s="6" t="s">
        <v>2138</v>
      </c>
      <c r="B316" s="4" t="s">
        <v>1410</v>
      </c>
      <c r="C316" s="4" t="s">
        <v>1871</v>
      </c>
      <c r="D316" s="29" t="s">
        <v>1872</v>
      </c>
      <c r="E316" t="str">
        <f t="shared" si="8"/>
        <v>YES</v>
      </c>
      <c r="F316" s="25" t="b">
        <v>1</v>
      </c>
      <c r="G316" s="24" t="b">
        <f t="shared" si="9"/>
        <v>1</v>
      </c>
    </row>
    <row r="317" spans="1:7" x14ac:dyDescent="0.3">
      <c r="A317" s="6" t="s">
        <v>2139</v>
      </c>
      <c r="B317" s="4" t="s">
        <v>830</v>
      </c>
      <c r="C317" s="4" t="s">
        <v>1773</v>
      </c>
      <c r="D317" s="29" t="s">
        <v>1673</v>
      </c>
      <c r="E317" t="str">
        <f t="shared" si="8"/>
        <v>YES</v>
      </c>
      <c r="F317" s="25" t="b">
        <v>1</v>
      </c>
      <c r="G317" s="24" t="b">
        <f t="shared" si="9"/>
        <v>1</v>
      </c>
    </row>
    <row r="318" spans="1:7" x14ac:dyDescent="0.3">
      <c r="A318" s="6" t="s">
        <v>2140</v>
      </c>
      <c r="B318" s="4" t="s">
        <v>2141</v>
      </c>
      <c r="C318" s="4" t="s">
        <v>2142</v>
      </c>
      <c r="D318" s="29" t="s">
        <v>1746</v>
      </c>
      <c r="E318" t="str">
        <f t="shared" si="8"/>
        <v>No</v>
      </c>
      <c r="F318" s="25"/>
      <c r="G318" s="24" t="b">
        <f t="shared" si="9"/>
        <v>0</v>
      </c>
    </row>
    <row r="319" spans="1:7" x14ac:dyDescent="0.3">
      <c r="A319" s="6" t="s">
        <v>2143</v>
      </c>
      <c r="B319" s="4" t="s">
        <v>2144</v>
      </c>
      <c r="C319" s="4" t="s">
        <v>1855</v>
      </c>
      <c r="D319" s="29" t="s">
        <v>1977</v>
      </c>
      <c r="E319" t="str">
        <f t="shared" si="8"/>
        <v>No</v>
      </c>
      <c r="F319" s="25"/>
      <c r="G319" s="24" t="b">
        <f t="shared" si="9"/>
        <v>0</v>
      </c>
    </row>
    <row r="320" spans="1:7" x14ac:dyDescent="0.3">
      <c r="A320" s="6" t="s">
        <v>2145</v>
      </c>
      <c r="B320" s="4" t="s">
        <v>2146</v>
      </c>
      <c r="C320" s="4" t="s">
        <v>1855</v>
      </c>
      <c r="D320" s="29" t="s">
        <v>1977</v>
      </c>
      <c r="E320" t="str">
        <f t="shared" si="8"/>
        <v>No</v>
      </c>
      <c r="F320" s="25"/>
      <c r="G320" s="24" t="b">
        <f t="shared" si="9"/>
        <v>0</v>
      </c>
    </row>
    <row r="321" spans="1:7" x14ac:dyDescent="0.3">
      <c r="A321" s="6" t="s">
        <v>2147</v>
      </c>
      <c r="B321" s="4" t="s">
        <v>2148</v>
      </c>
      <c r="C321" s="4" t="s">
        <v>2149</v>
      </c>
      <c r="D321" s="29" t="s">
        <v>2117</v>
      </c>
      <c r="E321" t="str">
        <f t="shared" si="8"/>
        <v>No</v>
      </c>
      <c r="F321" s="25"/>
      <c r="G321" s="24" t="b">
        <f t="shared" si="9"/>
        <v>0</v>
      </c>
    </row>
    <row r="322" spans="1:7" x14ac:dyDescent="0.3">
      <c r="A322" s="6" t="s">
        <v>2150</v>
      </c>
      <c r="B322" s="4" t="s">
        <v>2151</v>
      </c>
      <c r="C322" s="4" t="s">
        <v>1477</v>
      </c>
      <c r="D322" s="29" t="s">
        <v>1478</v>
      </c>
      <c r="E322" t="str">
        <f t="shared" ref="E322:E328" si="10">IF(F322, "YES", "No")</f>
        <v>No</v>
      </c>
      <c r="F322" s="25"/>
      <c r="G322" s="24" t="b">
        <f t="shared" ref="G322:G328" si="11">IF(COUNTIF($J$3:$J$100, B322) &gt; 0, TRUE, FALSE)</f>
        <v>0</v>
      </c>
    </row>
    <row r="323" spans="1:7" x14ac:dyDescent="0.3">
      <c r="A323" s="6" t="s">
        <v>2152</v>
      </c>
      <c r="B323" s="4" t="s">
        <v>2153</v>
      </c>
      <c r="C323" s="4" t="s">
        <v>1855</v>
      </c>
      <c r="D323" s="29" t="s">
        <v>1977</v>
      </c>
      <c r="E323" t="str">
        <f t="shared" si="10"/>
        <v>No</v>
      </c>
      <c r="F323" s="25"/>
      <c r="G323" s="24" t="b">
        <f t="shared" si="11"/>
        <v>0</v>
      </c>
    </row>
    <row r="324" spans="1:7" x14ac:dyDescent="0.3">
      <c r="A324" s="6" t="s">
        <v>2154</v>
      </c>
      <c r="B324" s="4" t="s">
        <v>2155</v>
      </c>
      <c r="C324" s="4" t="s">
        <v>1477</v>
      </c>
      <c r="D324" s="29" t="s">
        <v>1478</v>
      </c>
      <c r="E324" t="str">
        <f t="shared" si="10"/>
        <v>No</v>
      </c>
      <c r="F324" s="25"/>
      <c r="G324" s="24" t="b">
        <f t="shared" si="11"/>
        <v>0</v>
      </c>
    </row>
    <row r="325" spans="1:7" x14ac:dyDescent="0.3">
      <c r="A325" s="6" t="s">
        <v>2156</v>
      </c>
      <c r="B325" s="4" t="s">
        <v>2157</v>
      </c>
      <c r="C325" s="4" t="s">
        <v>2149</v>
      </c>
      <c r="D325" s="29" t="s">
        <v>2158</v>
      </c>
      <c r="E325" t="str">
        <f t="shared" si="10"/>
        <v>No</v>
      </c>
      <c r="F325" s="25"/>
      <c r="G325" s="24" t="b">
        <f t="shared" si="11"/>
        <v>0</v>
      </c>
    </row>
    <row r="326" spans="1:7" x14ac:dyDescent="0.3">
      <c r="A326" s="55" t="s">
        <v>2159</v>
      </c>
      <c r="B326" s="102" t="s">
        <v>2160</v>
      </c>
      <c r="C326" s="102" t="s">
        <v>2161</v>
      </c>
      <c r="D326" s="56" t="s">
        <v>2162</v>
      </c>
      <c r="E326" t="str">
        <f t="shared" si="10"/>
        <v>No</v>
      </c>
      <c r="F326" s="25"/>
      <c r="G326" s="24" t="b">
        <f t="shared" si="11"/>
        <v>0</v>
      </c>
    </row>
    <row r="327" spans="1:7" x14ac:dyDescent="0.3">
      <c r="A327" s="55" t="s">
        <v>2163</v>
      </c>
      <c r="B327" s="102" t="s">
        <v>137</v>
      </c>
      <c r="C327" s="102" t="s">
        <v>2164</v>
      </c>
      <c r="D327" s="56" t="s">
        <v>2165</v>
      </c>
      <c r="E327" t="str">
        <f t="shared" si="10"/>
        <v>No</v>
      </c>
      <c r="F327" s="25"/>
      <c r="G327" s="24" t="b">
        <f t="shared" si="11"/>
        <v>0</v>
      </c>
    </row>
    <row r="328" spans="1:7" x14ac:dyDescent="0.3">
      <c r="A328" s="6" t="s">
        <v>2166</v>
      </c>
      <c r="B328" s="4" t="s">
        <v>1422</v>
      </c>
      <c r="C328" s="4" t="s">
        <v>1735</v>
      </c>
      <c r="D328" s="57" t="s">
        <v>2167</v>
      </c>
      <c r="E328" t="str">
        <f t="shared" si="10"/>
        <v>YES</v>
      </c>
      <c r="F328" s="25" t="b">
        <v>1</v>
      </c>
      <c r="G328" s="24" t="b">
        <f t="shared" si="11"/>
        <v>1</v>
      </c>
    </row>
    <row r="329" spans="1:7" x14ac:dyDescent="0.3">
      <c r="A329" s="55" t="s">
        <v>1568</v>
      </c>
      <c r="B329" s="102" t="s">
        <v>1425</v>
      </c>
      <c r="C329" s="102" t="s">
        <v>1569</v>
      </c>
      <c r="D329" s="108">
        <v>7100000</v>
      </c>
      <c r="E329" t="str">
        <f>IF(F329, "YES", "No")</f>
        <v>YES</v>
      </c>
      <c r="F329" s="25" t="b">
        <v>1</v>
      </c>
      <c r="G329" t="b">
        <f>IF(COUNTIF($J$3:$J$100, B329) &gt; 0, TRUE, FALSE)</f>
        <v>1</v>
      </c>
    </row>
    <row r="330" spans="1:7" x14ac:dyDescent="0.3">
      <c r="A330" s="55" t="s">
        <v>2168</v>
      </c>
      <c r="B330" s="102" t="s">
        <v>1429</v>
      </c>
      <c r="C330" s="102" t="s">
        <v>2169</v>
      </c>
      <c r="D330" s="109">
        <v>1180000</v>
      </c>
      <c r="E330" t="str">
        <f>IF(F330, "YES", "No")</f>
        <v>YES</v>
      </c>
      <c r="F330" s="25" t="b">
        <v>1</v>
      </c>
      <c r="G330" t="b">
        <f>IF(COUNTIF($J$3:$J$100, B330) &gt; 0, TRUE, FALSE)</f>
        <v>1</v>
      </c>
    </row>
    <row r="331" spans="1:7" x14ac:dyDescent="0.3">
      <c r="A331" s="55" t="s">
        <v>1397</v>
      </c>
      <c r="B331" s="102" t="s">
        <v>1433</v>
      </c>
      <c r="C331" s="102" t="s">
        <v>1399</v>
      </c>
      <c r="D331" s="107">
        <v>2720000</v>
      </c>
      <c r="E331" t="str">
        <f>IF(F331, "YES", "No")</f>
        <v>YES</v>
      </c>
      <c r="F331" s="25" t="b">
        <v>1</v>
      </c>
      <c r="G331" t="b">
        <f>IF(COUNTIF($J$3:$J$100, B331) &gt; 0, TRUE, FALSE)</f>
        <v>1</v>
      </c>
    </row>
    <row r="332" spans="1:7" x14ac:dyDescent="0.3">
      <c r="A332" s="55" t="s">
        <v>2170</v>
      </c>
      <c r="B332" s="102" t="s">
        <v>1438</v>
      </c>
      <c r="C332" s="102" t="s">
        <v>2171</v>
      </c>
      <c r="D332" s="107">
        <v>2630000</v>
      </c>
      <c r="E332" t="str">
        <f>IF(F332, "YES", "No")</f>
        <v>YES</v>
      </c>
      <c r="F332" s="25" t="b">
        <v>1</v>
      </c>
      <c r="G332" t="b">
        <f>IF(COUNTIF($J$3:$J$100, B332) &gt; 0, TRUE, FALSE)</f>
        <v>1</v>
      </c>
    </row>
    <row r="333" spans="1:7" x14ac:dyDescent="0.3">
      <c r="A333" s="55" t="s">
        <v>1447</v>
      </c>
      <c r="B333" s="102" t="s">
        <v>1440</v>
      </c>
      <c r="C333" s="102" t="s">
        <v>1448</v>
      </c>
      <c r="D333" s="107">
        <v>1020000</v>
      </c>
      <c r="E333" t="str">
        <f>IF(F333, "YES", "No")</f>
        <v>YES</v>
      </c>
      <c r="F333" s="25" t="b">
        <v>1</v>
      </c>
      <c r="G333" t="b">
        <f>IF(COUNTIF($J$3:$J$100, B333) &gt; 0, TRUE, FALSE)</f>
        <v>1</v>
      </c>
    </row>
  </sheetData>
  <mergeCells count="1">
    <mergeCell ref="J1:J2"/>
  </mergeCells>
  <conditionalFormatting sqref="J42:J1048576 J1:J19 J23:J38">
    <cfRule type="iconSet" priority="397">
      <iconSet iconSet="3Symbols2">
        <cfvo type="percent" val="0"/>
        <cfvo type="percent" val="33"/>
        <cfvo type="percent" val="67"/>
      </iconSet>
    </cfRule>
  </conditionalFormatting>
  <conditionalFormatting sqref="J42:J1048576 J1:J19 J23:J38">
    <cfRule type="duplicateValues" dxfId="17" priority="402"/>
  </conditionalFormatting>
  <dataValidations count="1">
    <dataValidation type="custom" allowBlank="1" showInputMessage="1" showErrorMessage="1" sqref="F2:F333" xr:uid="{579F68EF-7FBE-417B-BE84-35F450C120EF}">
      <formula1>IF(G2, TRUE, FALSE)</formula1>
    </dataValidation>
  </dataValidations>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C67-6FF2-473D-BB18-B5B4055BA751}">
  <sheetPr codeName="Sheet9"/>
  <dimension ref="A2:AX3"/>
  <sheetViews>
    <sheetView workbookViewId="0">
      <selection activeCell="I20" sqref="I20"/>
    </sheetView>
  </sheetViews>
  <sheetFormatPr defaultRowHeight="14.4" x14ac:dyDescent="0.3"/>
  <sheetData>
    <row r="2" spans="1:50" ht="18" x14ac:dyDescent="0.35">
      <c r="A2" s="1" t="s">
        <v>17</v>
      </c>
      <c r="B2" s="1"/>
      <c r="C2" s="58">
        <v>9</v>
      </c>
      <c r="D2" s="59" t="str">
        <f>IF($T2="Open Sale", IF(MAX($D1:D$4)+1=0, "", MAX($D1:D$4)+1), "")</f>
        <v/>
      </c>
      <c r="E2" s="59" t="str">
        <f>IF($T2="Pending Allocation", IF(MAX($E1:E$4)+1=0, "", MAX($E1:E$4)+1), "")</f>
        <v/>
      </c>
      <c r="F2" s="60" t="s">
        <v>17</v>
      </c>
      <c r="G2" s="59"/>
      <c r="H2" s="69"/>
      <c r="I2" s="69">
        <v>45748</v>
      </c>
      <c r="J2" s="68" t="e">
        <f>IF(OpenPendingCases[[#This Row],[Timepiece Reference ]]="", "", IF(_xlfn.XLOOKUP(OpenPendingCases[[#This Row],[Timepiece Reference ]], Table1[[Timepiece Reference ]], Table1[CRC STOCK], "Not Found")="YES", "CRC Stock", "Boutique Stock"))</f>
        <v>#VALUE!</v>
      </c>
      <c r="K2" s="94" t="s">
        <v>6</v>
      </c>
      <c r="L2" s="110" t="s">
        <v>119</v>
      </c>
      <c r="M2" s="96" t="s">
        <v>88</v>
      </c>
      <c r="N2" s="59" t="s">
        <v>55</v>
      </c>
      <c r="O2" s="60" t="s">
        <v>14</v>
      </c>
      <c r="P2" s="59" t="str">
        <f>IFERROR(VLOOKUP(TRIM(O2), Collection!$B$2:$D$1001, 2, FALSE), "")</f>
        <v>Overseas quartz</v>
      </c>
      <c r="Q2" s="61" t="str">
        <f>IFERROR(VLOOKUP(TRIM(O2), Collection!$B$2:$D$1001, 3, FALSE), "")</f>
        <v>62,500 AED</v>
      </c>
      <c r="R2" s="62">
        <f t="shared" ref="R2:R3" si="0">IFERROR(VALUE(SUBSTITUTE(SUBSTITUTE(Q2, "Price", ""), "AED", "")), "")</f>
        <v>62500</v>
      </c>
      <c r="S2" s="63">
        <v>104803556</v>
      </c>
      <c r="T2" s="59" t="s">
        <v>73</v>
      </c>
      <c r="U2" s="64" t="str">
        <f t="shared" ref="U2:U3" si="1" xml:space="preserve"> IF(X2 = "",
     "",
     TEXT(X2, "mmmm"))</f>
        <v/>
      </c>
      <c r="V2" s="71"/>
      <c r="W2" s="65"/>
      <c r="X2" s="65"/>
      <c r="Y2" s="66" t="str">
        <f t="shared" ref="Y2:Y3" ca="1" si="2">IF(H2="", "", IF(T2="Open Sale", IF(TODAY()-H2=0, "0 Days", TEXT(TODAY()-H2, "0") &amp; " Days"), IF(T2="Closed Sale", Y2, "")))</f>
        <v/>
      </c>
      <c r="Z2" s="66" t="str">
        <f t="shared" ref="Z2:Z3" ca="1" si="3">IF(H2="", "", IF(OR(T2="Pending", T2="Pending Allocation"), CONCATENATE(TODAY()-H2, " Days"), IF(T2="Closed", "", "")))</f>
        <v/>
      </c>
      <c r="AA2" s="67" t="str">
        <f t="shared" ref="AA2:AA3" ca="1" si="4">IF(T2="Pending Allocation", IF(I2="", "", TODAY()-I2), "")</f>
        <v/>
      </c>
      <c r="AB2" s="66" t="str">
        <f t="shared" ref="AB2:AB3" ca="1" si="5">IF(T2="Open Sale", TEXT(TODAY()-I2, "0"),
   IF(T2="Pending", "",
      IF(T2="Closed Sale", "", "")))</f>
        <v/>
      </c>
      <c r="AC2" s="60"/>
      <c r="AD2" s="59" t="s">
        <v>2172</v>
      </c>
      <c r="AE2" s="59" t="s">
        <v>2173</v>
      </c>
      <c r="AF2" s="59"/>
      <c r="AG2" s="70" t="str">
        <f t="shared" ref="AG2:AG3" si="6">TEXT(I2, "mmmm yyyy")</f>
        <v>April 2025</v>
      </c>
      <c r="AH2" s="70" t="e">
        <f>IF(AND(OpenPendingCases[[#This Row],[Sale Status	]]="Open Sale",OpenPendingCases[[#This Row],[Potential Same Month]]="High"),TEXT(OpenPendingCases[[#This Row],[Request Entry Date]], "[$-en-us]mmmm"),"")</f>
        <v>#VALUE!</v>
      </c>
      <c r="AI2" s="72" t="str">
        <f>IFERROR(VALUE(SUBSTITUTE(OpenPendingCases[[#This Row],[Price]]," AED","")),"")</f>
        <v/>
      </c>
      <c r="AJ2" s="72" t="str">
        <f>IFERROR(VALUE(LEFT(OpenPendingCases[[#This Row],[Price]],FIND(" ",OpenPendingCases[[#This Row],[Price]])-1)),"")</f>
        <v/>
      </c>
      <c r="AK2" s="72" t="str">
        <f>IFERROR(VALUE(_xlfn.TEXTBEFORE(OpenPendingCases[[#This Row],[Price]]," AED")),"")</f>
        <v/>
      </c>
      <c r="AL2" s="1"/>
      <c r="AM2" s="1"/>
      <c r="AN2" s="1"/>
      <c r="AO2" s="1"/>
      <c r="AP2" s="1"/>
      <c r="AQ2" s="1"/>
      <c r="AR2" s="1"/>
      <c r="AS2" s="1"/>
      <c r="AT2" s="1"/>
      <c r="AU2" s="1"/>
      <c r="AV2" s="1"/>
      <c r="AW2" s="1"/>
      <c r="AX2" s="1"/>
    </row>
    <row r="3" spans="1:50" ht="18" x14ac:dyDescent="0.35">
      <c r="A3" s="1" t="s">
        <v>17</v>
      </c>
      <c r="B3" s="1"/>
      <c r="C3" s="58">
        <v>10</v>
      </c>
      <c r="D3" s="59" t="str">
        <f>IF($T3="Open Sale", IF(MAX($D2:D$4)+1=0, "", MAX($D2:D$4)+1), "")</f>
        <v/>
      </c>
      <c r="E3" s="59" t="str">
        <f>IF($T3="Pending Allocation", IF(MAX($E2:E$4)+1=0, "", MAX($E2:E$4)+1), "")</f>
        <v/>
      </c>
      <c r="F3" s="60" t="s">
        <v>17</v>
      </c>
      <c r="G3" s="59" t="s">
        <v>2174</v>
      </c>
      <c r="H3" s="69">
        <v>45750</v>
      </c>
      <c r="I3" s="69">
        <v>45750</v>
      </c>
      <c r="J3" s="68" t="e">
        <f>IF(OpenPendingCases[[#This Row],[Timepiece Reference ]]="", "", IF(_xlfn.XLOOKUP(OpenPendingCases[[#This Row],[Timepiece Reference ]], Table1[[Timepiece Reference ]], Table1[CRC STOCK], "Not Found")="YES", "CRC Stock", "Boutique Stock"))</f>
        <v>#VALUE!</v>
      </c>
      <c r="K3" s="94" t="s">
        <v>6</v>
      </c>
      <c r="L3" s="110" t="s">
        <v>119</v>
      </c>
      <c r="M3" s="96" t="s">
        <v>88</v>
      </c>
      <c r="N3" s="59" t="s">
        <v>104</v>
      </c>
      <c r="O3" s="60" t="s">
        <v>2175</v>
      </c>
      <c r="P3" s="59" t="str">
        <f>IFERROR(VLOOKUP(TRIM(O3), Collection!$B$2:$D$1001, 2, FALSE), "")</f>
        <v>Overseas self-winding</v>
      </c>
      <c r="Q3" s="61" t="str">
        <f>IFERROR(VLOOKUP(TRIM(O3), Collection!$B$2:$D$1001, 3, FALSE), "")</f>
        <v>94,500 AED</v>
      </c>
      <c r="R3" s="62">
        <f t="shared" si="0"/>
        <v>94500</v>
      </c>
      <c r="S3" s="63">
        <v>104989923</v>
      </c>
      <c r="T3" s="59" t="s">
        <v>73</v>
      </c>
      <c r="U3" s="64" t="str">
        <f t="shared" si="1"/>
        <v/>
      </c>
      <c r="V3" s="71"/>
      <c r="W3" s="65"/>
      <c r="X3" s="65"/>
      <c r="Y3" s="66" t="str">
        <f t="shared" ca="1" si="2"/>
        <v/>
      </c>
      <c r="Z3" s="66" t="str">
        <f t="shared" ca="1" si="3"/>
        <v/>
      </c>
      <c r="AA3" s="67" t="str">
        <f t="shared" ca="1" si="4"/>
        <v/>
      </c>
      <c r="AB3" s="66" t="str">
        <f t="shared" ca="1" si="5"/>
        <v/>
      </c>
      <c r="AC3" s="60" t="s">
        <v>2176</v>
      </c>
      <c r="AD3" s="59" t="s">
        <v>2172</v>
      </c>
      <c r="AE3" s="59" t="s">
        <v>2177</v>
      </c>
      <c r="AF3" s="59" t="s">
        <v>2178</v>
      </c>
      <c r="AG3" s="70" t="str">
        <f t="shared" si="6"/>
        <v>April 2025</v>
      </c>
      <c r="AH3" s="70" t="e">
        <f>IF(AND(OpenPendingCases[[#This Row],[Sale Status	]]="Open Sale",OpenPendingCases[[#This Row],[Potential Same Month]]="High"),TEXT(OpenPendingCases[[#This Row],[Request Entry Date]], "[$-en-us]mmmm"),"")</f>
        <v>#VALUE!</v>
      </c>
      <c r="AI3" s="72" t="str">
        <f>IFERROR(VALUE(SUBSTITUTE(OpenPendingCases[[#This Row],[Price]]," AED","")),"")</f>
        <v/>
      </c>
      <c r="AJ3" s="72" t="str">
        <f>IFERROR(VALUE(LEFT(OpenPendingCases[[#This Row],[Price]],FIND(" ",OpenPendingCases[[#This Row],[Price]])-1)),"")</f>
        <v/>
      </c>
      <c r="AK3" s="72" t="str">
        <f>IFERROR(VALUE(_xlfn.TEXTBEFORE(OpenPendingCases[[#This Row],[Price]]," AED")),"")</f>
        <v/>
      </c>
      <c r="AL3" s="1"/>
      <c r="AM3" s="1"/>
      <c r="AN3" s="1"/>
      <c r="AO3" s="1"/>
      <c r="AP3" s="1"/>
      <c r="AQ3" s="1"/>
      <c r="AR3" s="1"/>
      <c r="AS3" s="1"/>
      <c r="AT3" s="1"/>
      <c r="AU3" s="1"/>
      <c r="AV3" s="1"/>
      <c r="AW3" s="1"/>
      <c r="AX3" s="1"/>
    </row>
  </sheetData>
  <conditionalFormatting sqref="M2:M3">
    <cfRule type="containsText" dxfId="5" priority="1" operator="containsText" text="High">
      <formula>NOT(ISERROR(SEARCH("High",M2)))</formula>
    </cfRule>
  </conditionalFormatting>
  <conditionalFormatting sqref="T2:T3">
    <cfRule type="cellIs" dxfId="4" priority="2" operator="equal">
      <formula>"Closed"</formula>
    </cfRule>
    <cfRule type="cellIs" dxfId="3" priority="3" operator="equal">
      <formula>"Open Sale"</formula>
    </cfRule>
    <cfRule type="cellIs" dxfId="2" priority="4" operator="equal">
      <formula>"Pending Allocation"</formula>
    </cfRule>
    <cfRule type="cellIs" dxfId="1" priority="5" operator="equal">
      <formula>"transferred"</formula>
    </cfRule>
    <cfRule type="cellIs" dxfId="0" priority="6" operator="equal">
      <formula>"Sold"</formula>
    </cfRule>
  </conditionalFormatting>
  <dataValidations count="7">
    <dataValidation type="list" allowBlank="1" showInputMessage="1" showErrorMessage="1" sqref="K2:K3" xr:uid="{2E1B55AB-4515-4E0A-B7BC-BB0A2D155804}">
      <formula1>"CRC Stock, Boutique Stock"</formula1>
    </dataValidation>
    <dataValidation type="list" allowBlank="1" showInputMessage="1" showErrorMessage="1" sqref="L2:L3" xr:uid="{3DDC40C9-BE9A-43A7-9C8A-6D39D50CCC4C}">
      <formula1>"Awaiting HQ Approval, Approved by HQ, Allocation Confirmed, Allocation Closed (Sold),Currently Under Review"</formula1>
    </dataValidation>
    <dataValidation type="list" allowBlank="1" showInputMessage="1" showErrorMessage="1" sqref="M2:M3" xr:uid="{12DC51D2-2B94-4B9A-9CF1-1516A0C3E17E}">
      <formula1>$AV$7:$AV$9</formula1>
    </dataValidation>
    <dataValidation type="list" allowBlank="1" showInputMessage="1" showErrorMessage="1" sqref="N2:N3" xr:uid="{506C2660-3822-492B-A38C-EA2D56039172}">
      <formula1>"Middle East (UAE),Middle East (KSA),Middle East (Qatar),Middle East (Kuwait)"</formula1>
    </dataValidation>
    <dataValidation type="list" allowBlank="1" showInputMessage="1" showErrorMessage="1" sqref="V2:V3" xr:uid="{3DF9631B-66F2-4651-B901-0C48E75D361B}">
      <formula1>"Paid Deposit, Paid Deposit - Full Payment, Full Payment - By link, Full Payment - Bank Transfer, Full payment - At Boutique,Paid Deposit - Bank Transfer - At Boutique,Full Payment Bank Transfer - At Boutique"</formula1>
    </dataValidation>
    <dataValidation type="list" allowBlank="1" showInputMessage="1" showErrorMessage="1" sqref="T2:T3" xr:uid="{8D8F3A72-30F1-48CF-8827-3293F1B8A341}">
      <formula1>$AQ$5:$AQ$9</formula1>
    </dataValidation>
    <dataValidation type="list" allowBlank="1" showInputMessage="1" showErrorMessage="1" sqref="F2:F3" xr:uid="{A9932C51-C31F-49B6-B9CC-0EBDD00CFFC6}">
      <formula1>"Maaz,Asma,Riham"</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71331-BD40-43E2-B148-A3B11A5A2F98}">
  <sheetPr codeName="Sheet8"/>
  <dimension ref="HPV349100"/>
  <sheetViews>
    <sheetView workbookViewId="0"/>
  </sheetViews>
  <sheetFormatPr defaultRowHeight="14.4" x14ac:dyDescent="0.3"/>
  <sheetData>
    <row r="349100" spans="5846:5846" x14ac:dyDescent="0.3">
      <c r="HPV349100" t="s">
        <v>2179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36191-8CFA-4552-A598-1B5E3F32FF44}">
  <dimension ref="A3:U8"/>
  <sheetViews>
    <sheetView workbookViewId="0">
      <selection activeCell="M25" sqref="M25"/>
    </sheetView>
  </sheetViews>
  <sheetFormatPr defaultRowHeight="14.4" x14ac:dyDescent="0.3"/>
  <cols>
    <col min="12" max="12" width="9.88671875" customWidth="1"/>
  </cols>
  <sheetData>
    <row r="3" spans="1:21" x14ac:dyDescent="0.3">
      <c r="A3" t="s">
        <v>17</v>
      </c>
      <c r="B3" t="s">
        <v>2180</v>
      </c>
      <c r="C3">
        <v>45741</v>
      </c>
      <c r="D3">
        <v>45741</v>
      </c>
      <c r="E3" t="s">
        <v>6</v>
      </c>
      <c r="F3" t="s">
        <v>67</v>
      </c>
      <c r="G3" t="s">
        <v>3</v>
      </c>
      <c r="H3" t="s">
        <v>55</v>
      </c>
      <c r="I3" t="s">
        <v>128</v>
      </c>
      <c r="J3" t="s">
        <v>1103</v>
      </c>
      <c r="K3" t="s">
        <v>1456</v>
      </c>
      <c r="L3">
        <v>104802404</v>
      </c>
      <c r="M3" t="s">
        <v>57</v>
      </c>
      <c r="N3" t="s">
        <v>69</v>
      </c>
      <c r="O3" t="s">
        <v>2181</v>
      </c>
      <c r="P3" t="s">
        <v>106</v>
      </c>
      <c r="Q3" t="s">
        <v>2182</v>
      </c>
      <c r="R3">
        <v>45772</v>
      </c>
      <c r="S3" t="s">
        <v>2183</v>
      </c>
      <c r="U3" t="s">
        <v>2184</v>
      </c>
    </row>
    <row r="4" spans="1:21" x14ac:dyDescent="0.3">
      <c r="A4" t="s">
        <v>15</v>
      </c>
      <c r="B4" t="s">
        <v>2185</v>
      </c>
      <c r="C4">
        <v>45738</v>
      </c>
      <c r="D4">
        <v>45738</v>
      </c>
      <c r="E4" t="s">
        <v>6</v>
      </c>
      <c r="F4" t="s">
        <v>67</v>
      </c>
      <c r="G4" t="s">
        <v>3</v>
      </c>
      <c r="H4" t="s">
        <v>55</v>
      </c>
      <c r="I4" t="s">
        <v>160</v>
      </c>
      <c r="J4" t="s">
        <v>1526</v>
      </c>
      <c r="K4" t="s">
        <v>1527</v>
      </c>
      <c r="L4">
        <v>104796476</v>
      </c>
      <c r="M4" t="s">
        <v>57</v>
      </c>
      <c r="N4" t="s">
        <v>69</v>
      </c>
      <c r="O4" t="s">
        <v>2186</v>
      </c>
      <c r="P4" t="s">
        <v>2187</v>
      </c>
      <c r="Q4" t="s">
        <v>2188</v>
      </c>
      <c r="R4">
        <v>45786</v>
      </c>
      <c r="S4" t="s">
        <v>2189</v>
      </c>
      <c r="T4" t="s">
        <v>2190</v>
      </c>
      <c r="U4" t="s">
        <v>2191</v>
      </c>
    </row>
    <row r="5" spans="1:21" x14ac:dyDescent="0.3">
      <c r="A5" t="s">
        <v>15</v>
      </c>
      <c r="D5">
        <v>45757</v>
      </c>
      <c r="E5" t="s">
        <v>6</v>
      </c>
      <c r="F5" t="s">
        <v>67</v>
      </c>
      <c r="G5" t="s">
        <v>3</v>
      </c>
      <c r="H5" t="s">
        <v>55</v>
      </c>
      <c r="I5" t="s">
        <v>2192</v>
      </c>
      <c r="J5" t="s">
        <v>1436</v>
      </c>
      <c r="K5" t="s">
        <v>1437</v>
      </c>
      <c r="L5">
        <v>105144494</v>
      </c>
      <c r="M5" t="s">
        <v>57</v>
      </c>
      <c r="N5" t="s">
        <v>69</v>
      </c>
      <c r="O5" t="s">
        <v>2181</v>
      </c>
      <c r="P5" t="s">
        <v>106</v>
      </c>
      <c r="Q5" t="s">
        <v>2193</v>
      </c>
      <c r="R5">
        <v>45759</v>
      </c>
      <c r="S5" t="s">
        <v>2194</v>
      </c>
      <c r="U5" t="s">
        <v>2195</v>
      </c>
    </row>
    <row r="6" spans="1:21" x14ac:dyDescent="0.3">
      <c r="A6" t="s">
        <v>15</v>
      </c>
      <c r="B6" t="s">
        <v>2196</v>
      </c>
      <c r="C6">
        <v>45766</v>
      </c>
      <c r="D6">
        <v>45766</v>
      </c>
      <c r="E6" t="s">
        <v>6</v>
      </c>
      <c r="F6" t="s">
        <v>67</v>
      </c>
      <c r="G6" t="s">
        <v>3</v>
      </c>
      <c r="H6" t="s">
        <v>55</v>
      </c>
      <c r="I6" t="s">
        <v>160</v>
      </c>
      <c r="J6" t="s">
        <v>1526</v>
      </c>
      <c r="K6" t="s">
        <v>1527</v>
      </c>
      <c r="L6">
        <v>101893659</v>
      </c>
      <c r="M6" t="s">
        <v>57</v>
      </c>
      <c r="N6" t="s">
        <v>69</v>
      </c>
      <c r="O6" t="s">
        <v>2186</v>
      </c>
      <c r="P6" t="s">
        <v>2187</v>
      </c>
      <c r="Q6" t="s">
        <v>2197</v>
      </c>
      <c r="R6">
        <v>45787</v>
      </c>
      <c r="S6" t="s">
        <v>2198</v>
      </c>
      <c r="T6" t="s">
        <v>2199</v>
      </c>
      <c r="U6" t="s">
        <v>2200</v>
      </c>
    </row>
    <row r="7" spans="1:21" x14ac:dyDescent="0.3">
      <c r="A7" t="s">
        <v>17</v>
      </c>
      <c r="E7" t="s">
        <v>6</v>
      </c>
      <c r="F7" t="s">
        <v>1</v>
      </c>
      <c r="G7" t="s">
        <v>3</v>
      </c>
      <c r="H7" t="s">
        <v>55</v>
      </c>
      <c r="I7" t="s">
        <v>2201</v>
      </c>
      <c r="J7" t="s">
        <v>1735</v>
      </c>
      <c r="K7" t="s">
        <v>2167</v>
      </c>
      <c r="L7">
        <v>104455802</v>
      </c>
      <c r="M7" t="s">
        <v>57</v>
      </c>
      <c r="N7" t="s">
        <v>69</v>
      </c>
      <c r="O7" t="s">
        <v>112</v>
      </c>
      <c r="P7" t="s">
        <v>106</v>
      </c>
      <c r="Q7">
        <v>902804000001886</v>
      </c>
      <c r="R7">
        <v>45815</v>
      </c>
      <c r="S7" t="s">
        <v>2202</v>
      </c>
      <c r="T7" t="s">
        <v>2203</v>
      </c>
      <c r="U7" t="s">
        <v>2204</v>
      </c>
    </row>
    <row r="8" spans="1:21" x14ac:dyDescent="0.3">
      <c r="A8" t="s">
        <v>17</v>
      </c>
      <c r="E8" t="s">
        <v>6</v>
      </c>
      <c r="F8" t="s">
        <v>6</v>
      </c>
      <c r="G8" t="s">
        <v>1</v>
      </c>
      <c r="H8" t="s">
        <v>79</v>
      </c>
      <c r="I8" t="s">
        <v>104</v>
      </c>
      <c r="J8" t="s">
        <v>2205</v>
      </c>
      <c r="K8" t="s">
        <v>1109</v>
      </c>
      <c r="L8" t="s">
        <v>1462</v>
      </c>
      <c r="M8">
        <v>91001497</v>
      </c>
      <c r="O8" t="s">
        <v>73</v>
      </c>
      <c r="Q8" t="s">
        <v>112</v>
      </c>
      <c r="R8" t="s">
        <v>106</v>
      </c>
      <c r="U8" t="s">
        <v>2206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E08BF23E7EAE44CAC65E620CAA62791" ma:contentTypeVersion="8" ma:contentTypeDescription="Create a new document." ma:contentTypeScope="" ma:versionID="ad3438a86d79e52124de4eecfe9c52db">
  <xsd:schema xmlns:xsd="http://www.w3.org/2001/XMLSchema" xmlns:xs="http://www.w3.org/2001/XMLSchema" xmlns:p="http://schemas.microsoft.com/office/2006/metadata/properties" xmlns:ns2="ce98d050-8481-4fe5-a36a-e643d0d5d457" targetNamespace="http://schemas.microsoft.com/office/2006/metadata/properties" ma:root="true" ma:fieldsID="8b779be1ec8b5f79d0cbf983f9123459" ns2:_="">
    <xsd:import namespace="ce98d050-8481-4fe5-a36a-e643d0d5d45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98d050-8481-4fe5-a36a-e643d0d5d4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E3E88C-5422-4AFE-828B-FD94B9BAFF1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0DA40EB-96D5-47ED-8746-1580DDEE4F0E}">
  <ds:schemaRefs>
    <ds:schemaRef ds:uri="http://schemas.microsoft.com/sharepoint/v3/contenttype/forms"/>
  </ds:schemaRefs>
</ds:datastoreItem>
</file>

<file path=customXml/itemProps3.xml><?xml version="1.0" encoding="utf-8"?>
<ds:datastoreItem xmlns:ds="http://schemas.openxmlformats.org/officeDocument/2006/customXml" ds:itemID="{7A17B8B0-7DFF-44EE-B015-B1FF6696AB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98d050-8481-4fe5-a36a-e643d0d5d4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94b3f1b2-8b3a-49e3-ba33-8b8fb6d18361}" enabled="0" method="" siteId="{94b3f1b2-8b3a-49e3-ba33-8b8fb6d1836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Sheet3</vt:lpstr>
      <vt:lpstr>SelloutPlan v1Main</vt:lpstr>
      <vt:lpstr>AirrTable</vt:lpstr>
      <vt:lpstr>Reports</vt:lpstr>
      <vt:lpstr>Airtable</vt:lpstr>
      <vt:lpstr>Collection</vt:lpstr>
      <vt:lpstr>Closed Sale</vt:lpstr>
      <vt:lpstr>Closed Requests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VC - Sellout Plan Maaz</dc:title>
  <dc:subject/>
  <dc:creator>maaz@crm-me.com</dc:creator>
  <cp:keywords/>
  <dc:description/>
  <cp:lastModifiedBy>Moath Ali Sharif</cp:lastModifiedBy>
  <cp:revision/>
  <dcterms:created xsi:type="dcterms:W3CDTF">2015-04-08T09:49:23Z</dcterms:created>
  <dcterms:modified xsi:type="dcterms:W3CDTF">2025-09-17T07:20:14Z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0x0101008E08BF23E7EAE44CAC65E620CAA62791</vt:lpwstr>
  </property>
  <property fmtid="{D5CDD505-2E9C-101B-9397-08002B2CF9AE}" pid="3" name="ComplianceAssetId">
    <vt:lpwstr/>
  </property>
  <property fmtid="{D5CDD505-2E9C-101B-9397-08002B2CF9AE}" pid="4" name="_ExtendedDescription">
    <vt:lpwstr/>
  </property>
  <property fmtid="{D5CDD505-2E9C-101B-9397-08002B2CF9AE}" pid="5" name="_activity">
    <vt:lpwstr>{"FileActivityType":"9","FileActivityTimeStamp":"2025-04-16T15:03:19.447Z","FileActivityUsersOnPage":[{"DisplayName":"SHARIF Maaz (EXT-VAC-AE)","Id":"maaz.sharif@vacheron-constantin.com"},{"DisplayName":"OMARI Asma (EXT-VAC-AE)","Id":"asma.omari@vacheron-constantin.com"},{"DisplayName":"TAHHAN Riham (EXT-VAC-AE)","Id":"riham.tahhan@vacheron-constantin.com"}],"FileActivityNavigationId":null}</vt:lpwstr>
  </property>
  <property fmtid="{D5CDD505-2E9C-101B-9397-08002B2CF9AE}" pid="6" name="TriggerFlowInfo">
    <vt:lpwstr/>
  </property>
</Properties>
</file>