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sgsharpe_cpp_edu/Documents/"/>
    </mc:Choice>
  </mc:AlternateContent>
  <xr:revisionPtr revIDLastSave="6960" documentId="8_{8192FB8D-7146-4120-928E-9AA1AC996FAC}" xr6:coauthVersionLast="47" xr6:coauthVersionMax="47" xr10:uidLastSave="{8660960F-371B-48B5-BB61-A05386BE77BE}"/>
  <bookViews>
    <workbookView xWindow="4455" yWindow="2340" windowWidth="21765" windowHeight="15690" activeTab="1" xr2:uid="{555487FD-802D-42D5-85F7-DA85CAF5BE6C}"/>
  </bookViews>
  <sheets>
    <sheet name="Torsional Constant Calculation" sheetId="1" r:id="rId1"/>
    <sheet name="Bending Stress and Strain" sheetId="2" r:id="rId2"/>
    <sheet name="Bending of Lumped Section" sheetId="3" r:id="rId3"/>
    <sheet name="Bending of Multiple Materials" sheetId="4" r:id="rId4"/>
    <sheet name="Shear Flow in Lumped Sections" sheetId="5" r:id="rId5"/>
    <sheet name="Plastic Bending" sheetId="6" r:id="rId6"/>
    <sheet name="Cumulative Fatigue Damage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3" l="1"/>
  <c r="F5" i="5"/>
  <c r="E11" i="3"/>
  <c r="M6" i="7"/>
  <c r="M7" i="7"/>
  <c r="M8" i="7"/>
  <c r="M5" i="7"/>
  <c r="M4" i="7"/>
  <c r="J14" i="7"/>
  <c r="B16" i="7"/>
  <c r="E14" i="8"/>
  <c r="E17" i="8"/>
  <c r="O31" i="8"/>
  <c r="I33" i="8" s="1"/>
  <c r="O32" i="8"/>
  <c r="J39" i="8"/>
  <c r="C7" i="8"/>
  <c r="B19" i="8"/>
  <c r="I7" i="7"/>
  <c r="I8" i="7"/>
  <c r="F5" i="7"/>
  <c r="F6" i="7"/>
  <c r="F7" i="7"/>
  <c r="F8" i="7"/>
  <c r="E5" i="7"/>
  <c r="E6" i="7"/>
  <c r="E7" i="7"/>
  <c r="E8" i="7"/>
  <c r="F4" i="7"/>
  <c r="E4" i="7"/>
  <c r="G7" i="6"/>
  <c r="K28" i="6"/>
  <c r="K24" i="6"/>
  <c r="K25" i="6"/>
  <c r="K26" i="6"/>
  <c r="K27" i="6"/>
  <c r="H28" i="6"/>
  <c r="H23" i="6"/>
  <c r="H24" i="6"/>
  <c r="H25" i="6"/>
  <c r="H26" i="6"/>
  <c r="H27" i="6"/>
  <c r="H22" i="6"/>
  <c r="G23" i="6"/>
  <c r="G24" i="6"/>
  <c r="G25" i="6"/>
  <c r="G26" i="6"/>
  <c r="G27" i="6"/>
  <c r="G28" i="6"/>
  <c r="G22" i="6"/>
  <c r="F22" i="6"/>
  <c r="F23" i="6"/>
  <c r="F24" i="6"/>
  <c r="I24" i="6" s="1"/>
  <c r="L24" i="6" s="1"/>
  <c r="F25" i="6"/>
  <c r="I25" i="6" s="1"/>
  <c r="L25" i="6" s="1"/>
  <c r="F26" i="6"/>
  <c r="I26" i="6" s="1"/>
  <c r="L26" i="6" s="1"/>
  <c r="F27" i="6"/>
  <c r="F28" i="6"/>
  <c r="I28" i="6" s="1"/>
  <c r="L28" i="6" s="1"/>
  <c r="F21" i="6"/>
  <c r="F20" i="6"/>
  <c r="G6" i="6"/>
  <c r="H50" i="6"/>
  <c r="H49" i="6"/>
  <c r="L49" i="6"/>
  <c r="E50" i="6"/>
  <c r="F50" i="6" s="1"/>
  <c r="E49" i="6"/>
  <c r="J49" i="6" s="1"/>
  <c r="E8" i="6"/>
  <c r="F8" i="6" s="1"/>
  <c r="E7" i="6"/>
  <c r="F7" i="6" s="1"/>
  <c r="E9" i="6"/>
  <c r="F9" i="6" s="1"/>
  <c r="E10" i="6"/>
  <c r="H10" i="6" s="1"/>
  <c r="E11" i="6"/>
  <c r="F11" i="6" s="1"/>
  <c r="E12" i="6"/>
  <c r="H12" i="6" s="1"/>
  <c r="E13" i="6"/>
  <c r="H13" i="6" s="1"/>
  <c r="E14" i="6"/>
  <c r="F14" i="6" s="1"/>
  <c r="E6" i="6"/>
  <c r="F6" i="6" s="1"/>
  <c r="M12" i="5"/>
  <c r="M7" i="5"/>
  <c r="M8" i="5"/>
  <c r="M9" i="5"/>
  <c r="M10" i="5"/>
  <c r="M11" i="5"/>
  <c r="M6" i="5"/>
  <c r="M5" i="5"/>
  <c r="F6" i="5"/>
  <c r="F7" i="5"/>
  <c r="F8" i="5"/>
  <c r="F10" i="5"/>
  <c r="F11" i="5"/>
  <c r="F12" i="5"/>
  <c r="E6" i="5"/>
  <c r="E7" i="5"/>
  <c r="E8" i="5"/>
  <c r="E9" i="5"/>
  <c r="E10" i="5"/>
  <c r="E11" i="5"/>
  <c r="E12" i="5"/>
  <c r="E5" i="5"/>
  <c r="B13" i="5"/>
  <c r="D29" i="1"/>
  <c r="T15" i="1" s="1"/>
  <c r="G20" i="4"/>
  <c r="L20" i="4" s="1"/>
  <c r="G19" i="4"/>
  <c r="N19" i="4" s="1"/>
  <c r="G18" i="4"/>
  <c r="N18" i="4" s="1"/>
  <c r="G17" i="4"/>
  <c r="L17" i="4" s="1"/>
  <c r="G16" i="4"/>
  <c r="L16" i="4" s="1"/>
  <c r="G15" i="4"/>
  <c r="L15" i="4" s="1"/>
  <c r="G14" i="4"/>
  <c r="H14" i="4" s="1"/>
  <c r="I14" i="4" s="1"/>
  <c r="G13" i="4"/>
  <c r="N13" i="4" s="1"/>
  <c r="G12" i="4"/>
  <c r="H12" i="4" s="1"/>
  <c r="Q14" i="3"/>
  <c r="F18" i="3"/>
  <c r="F19" i="3"/>
  <c r="E18" i="3"/>
  <c r="E19" i="3"/>
  <c r="F16" i="3"/>
  <c r="F15" i="3"/>
  <c r="F14" i="3"/>
  <c r="T14" i="1"/>
  <c r="V14" i="1" s="1"/>
  <c r="T13" i="1"/>
  <c r="U15" i="1"/>
  <c r="U14" i="1"/>
  <c r="U13" i="1"/>
  <c r="V36" i="1"/>
  <c r="V37" i="1"/>
  <c r="V38" i="1"/>
  <c r="V39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U36" i="1"/>
  <c r="U37" i="1"/>
  <c r="U38" i="1"/>
  <c r="U39" i="1"/>
  <c r="T36" i="1"/>
  <c r="T37" i="1"/>
  <c r="T38" i="1"/>
  <c r="T39" i="1"/>
  <c r="T35" i="1"/>
  <c r="V35" i="1" s="1"/>
  <c r="K35" i="1"/>
  <c r="L35" i="1" s="1"/>
  <c r="L17" i="2"/>
  <c r="L16" i="2"/>
  <c r="L15" i="2"/>
  <c r="L14" i="2"/>
  <c r="L13" i="2"/>
  <c r="L12" i="2"/>
  <c r="L11" i="2"/>
  <c r="F17" i="2"/>
  <c r="J17" i="2"/>
  <c r="J16" i="2"/>
  <c r="J15" i="2"/>
  <c r="J14" i="2"/>
  <c r="J13" i="2"/>
  <c r="J12" i="2"/>
  <c r="J11" i="2"/>
  <c r="F12" i="2"/>
  <c r="H12" i="2" s="1"/>
  <c r="F13" i="2"/>
  <c r="H13" i="2" s="1"/>
  <c r="F14" i="2"/>
  <c r="H14" i="2" s="1"/>
  <c r="F15" i="2"/>
  <c r="G15" i="2" s="1"/>
  <c r="F16" i="2"/>
  <c r="G16" i="2" s="1"/>
  <c r="F11" i="2"/>
  <c r="H11" i="2" s="1"/>
  <c r="C12" i="1"/>
  <c r="D12" i="1" s="1"/>
  <c r="C11" i="1"/>
  <c r="E11" i="1" s="1"/>
  <c r="A4" i="1"/>
  <c r="B4" i="1" s="1"/>
  <c r="G4" i="1" s="1"/>
  <c r="J4" i="1" s="1"/>
  <c r="K36" i="1"/>
  <c r="L36" i="1" s="1"/>
  <c r="K37" i="1"/>
  <c r="L37" i="1" s="1"/>
  <c r="K38" i="1"/>
  <c r="L38" i="1" s="1"/>
  <c r="K39" i="1"/>
  <c r="L39" i="1" s="1"/>
  <c r="K30" i="1"/>
  <c r="M30" i="1" s="1"/>
  <c r="K33" i="1"/>
  <c r="N33" i="1" s="1"/>
  <c r="K29" i="1"/>
  <c r="L29" i="1" s="1"/>
  <c r="K24" i="1"/>
  <c r="M24" i="1" s="1"/>
  <c r="K25" i="1"/>
  <c r="L25" i="1" s="1"/>
  <c r="K26" i="1"/>
  <c r="M26" i="1" s="1"/>
  <c r="K27" i="1"/>
  <c r="M27" i="1" s="1"/>
  <c r="K23" i="1"/>
  <c r="L23" i="1" s="1"/>
  <c r="C15" i="1"/>
  <c r="C14" i="1"/>
  <c r="E14" i="1" s="1"/>
  <c r="G14" i="1" s="1"/>
  <c r="C13" i="1"/>
  <c r="E13" i="1" s="1"/>
  <c r="F11" i="3" l="1"/>
  <c r="B20" i="3"/>
  <c r="G6" i="7"/>
  <c r="G8" i="7"/>
  <c r="D7" i="8"/>
  <c r="F37" i="8"/>
  <c r="G4" i="7"/>
  <c r="G7" i="7"/>
  <c r="G5" i="7"/>
  <c r="N4" i="7"/>
  <c r="N8" i="7"/>
  <c r="N7" i="7"/>
  <c r="J7" i="7"/>
  <c r="I23" i="6"/>
  <c r="L23" i="6" s="1"/>
  <c r="H51" i="6"/>
  <c r="I22" i="6"/>
  <c r="J22" i="6" s="1"/>
  <c r="I27" i="6"/>
  <c r="L27" i="6" s="1"/>
  <c r="F12" i="6"/>
  <c r="F13" i="6"/>
  <c r="F10" i="6"/>
  <c r="H11" i="6"/>
  <c r="H9" i="6"/>
  <c r="J24" i="6"/>
  <c r="J27" i="6"/>
  <c r="J25" i="6"/>
  <c r="J28" i="6"/>
  <c r="J26" i="6"/>
  <c r="H8" i="6"/>
  <c r="H14" i="6"/>
  <c r="H6" i="6"/>
  <c r="J50" i="6"/>
  <c r="J51" i="6" s="1"/>
  <c r="F49" i="6"/>
  <c r="F51" i="6" s="1"/>
  <c r="E51" i="6"/>
  <c r="H7" i="6"/>
  <c r="E15" i="6"/>
  <c r="M13" i="5"/>
  <c r="E13" i="5"/>
  <c r="B15" i="5" s="1"/>
  <c r="V13" i="1"/>
  <c r="V15" i="1"/>
  <c r="L18" i="4"/>
  <c r="N20" i="4"/>
  <c r="H18" i="4"/>
  <c r="J18" i="4" s="1"/>
  <c r="N15" i="4"/>
  <c r="H15" i="4"/>
  <c r="I15" i="4" s="1"/>
  <c r="H17" i="4"/>
  <c r="N17" i="4"/>
  <c r="H16" i="4"/>
  <c r="N16" i="4"/>
  <c r="H20" i="4"/>
  <c r="L19" i="4"/>
  <c r="H19" i="4"/>
  <c r="N12" i="4"/>
  <c r="L12" i="4"/>
  <c r="L14" i="4"/>
  <c r="N14" i="4"/>
  <c r="L13" i="4"/>
  <c r="H13" i="4"/>
  <c r="J13" i="4" s="1"/>
  <c r="J14" i="4"/>
  <c r="J12" i="4"/>
  <c r="I12" i="4"/>
  <c r="E16" i="3"/>
  <c r="E17" i="3"/>
  <c r="F17" i="3"/>
  <c r="F13" i="3"/>
  <c r="E13" i="3"/>
  <c r="E15" i="3"/>
  <c r="E12" i="3"/>
  <c r="F12" i="3"/>
  <c r="E14" i="3"/>
  <c r="L14" i="1"/>
  <c r="O14" i="1"/>
  <c r="O33" i="1"/>
  <c r="J18" i="2"/>
  <c r="F18" i="2"/>
  <c r="H16" i="2"/>
  <c r="G17" i="2"/>
  <c r="H17" i="2"/>
  <c r="H15" i="2"/>
  <c r="L27" i="1"/>
  <c r="N27" i="1"/>
  <c r="G14" i="2"/>
  <c r="G13" i="2"/>
  <c r="G12" i="2"/>
  <c r="G11" i="2"/>
  <c r="D11" i="1"/>
  <c r="F11" i="1" s="1"/>
  <c r="N24" i="1"/>
  <c r="N23" i="1"/>
  <c r="O29" i="1"/>
  <c r="M35" i="1"/>
  <c r="L26" i="1"/>
  <c r="L33" i="1"/>
  <c r="N29" i="1"/>
  <c r="M33" i="1"/>
  <c r="N30" i="1"/>
  <c r="N26" i="1"/>
  <c r="N25" i="1"/>
  <c r="O30" i="1"/>
  <c r="M36" i="1"/>
  <c r="M37" i="1"/>
  <c r="M38" i="1"/>
  <c r="M39" i="1"/>
  <c r="L24" i="1"/>
  <c r="K32" i="1"/>
  <c r="M29" i="1"/>
  <c r="K31" i="1"/>
  <c r="M14" i="1" s="1" a="1"/>
  <c r="M14" i="1" s="1"/>
  <c r="P14" i="1" s="1"/>
  <c r="L30" i="1"/>
  <c r="D14" i="1"/>
  <c r="F14" i="1" s="1"/>
  <c r="D13" i="1"/>
  <c r="F13" i="1" s="1"/>
  <c r="D15" i="1"/>
  <c r="F15" i="1" s="1"/>
  <c r="G11" i="1"/>
  <c r="E15" i="1"/>
  <c r="G15" i="1" s="1"/>
  <c r="E12" i="1"/>
  <c r="G12" i="1" s="1"/>
  <c r="M25" i="1"/>
  <c r="M23" i="1"/>
  <c r="G13" i="1"/>
  <c r="F12" i="1"/>
  <c r="H4" i="1"/>
  <c r="I4" i="1" s="1"/>
  <c r="L4" i="1"/>
  <c r="M4" i="1" s="1"/>
  <c r="K4" i="1"/>
  <c r="J8" i="7" l="1"/>
  <c r="K8" i="7" s="1"/>
  <c r="K7" i="7"/>
  <c r="F7" i="8"/>
  <c r="G7" i="8" s="1"/>
  <c r="N5" i="7"/>
  <c r="J4" i="7"/>
  <c r="N6" i="7"/>
  <c r="J23" i="6"/>
  <c r="L22" i="6"/>
  <c r="F15" i="6"/>
  <c r="B18" i="6" s="1"/>
  <c r="B53" i="6"/>
  <c r="H15" i="6"/>
  <c r="B23" i="6" s="1"/>
  <c r="G7" i="5"/>
  <c r="G6" i="5"/>
  <c r="G5" i="5"/>
  <c r="G12" i="5"/>
  <c r="G11" i="5"/>
  <c r="G10" i="5"/>
  <c r="G9" i="5"/>
  <c r="G8" i="5"/>
  <c r="J15" i="4"/>
  <c r="I18" i="4"/>
  <c r="J17" i="4"/>
  <c r="I17" i="4"/>
  <c r="J16" i="4"/>
  <c r="I16" i="4"/>
  <c r="I19" i="4"/>
  <c r="J19" i="4"/>
  <c r="J20" i="4"/>
  <c r="I20" i="4"/>
  <c r="N21" i="4"/>
  <c r="L21" i="4"/>
  <c r="H21" i="4"/>
  <c r="I13" i="4"/>
  <c r="E20" i="3"/>
  <c r="C23" i="3" s="1"/>
  <c r="F20" i="3"/>
  <c r="C24" i="3" s="1"/>
  <c r="H18" i="2"/>
  <c r="C21" i="2" s="1"/>
  <c r="G18" i="2"/>
  <c r="C20" i="2" s="1"/>
  <c r="O31" i="1"/>
  <c r="N31" i="1"/>
  <c r="M32" i="1"/>
  <c r="O32" i="1"/>
  <c r="N32" i="1"/>
  <c r="G16" i="1"/>
  <c r="I11" i="1" s="1"/>
  <c r="J11" i="1" s="1"/>
  <c r="L32" i="1"/>
  <c r="M31" i="1"/>
  <c r="L31" i="1"/>
  <c r="F16" i="1"/>
  <c r="H15" i="1" s="1"/>
  <c r="N14" i="1"/>
  <c r="J6" i="7" l="1"/>
  <c r="K6" i="7" s="1"/>
  <c r="J5" i="7"/>
  <c r="K5" i="7" s="1"/>
  <c r="H7" i="8" a="1"/>
  <c r="H7" i="8" s="1"/>
  <c r="I7" i="8" s="1"/>
  <c r="B8" i="8"/>
  <c r="C8" i="8" s="1"/>
  <c r="K4" i="7"/>
  <c r="L12" i="6"/>
  <c r="L11" i="6"/>
  <c r="M22" i="6"/>
  <c r="M27" i="6"/>
  <c r="M23" i="6"/>
  <c r="M25" i="6"/>
  <c r="M26" i="6"/>
  <c r="M28" i="6"/>
  <c r="M24" i="6"/>
  <c r="I10" i="6"/>
  <c r="I13" i="6"/>
  <c r="I9" i="6"/>
  <c r="I11" i="6"/>
  <c r="I12" i="6"/>
  <c r="I7" i="6"/>
  <c r="I8" i="6"/>
  <c r="G49" i="6"/>
  <c r="K49" i="6"/>
  <c r="K50" i="6"/>
  <c r="I14" i="6"/>
  <c r="I6" i="6"/>
  <c r="G13" i="5"/>
  <c r="B18" i="5" s="1"/>
  <c r="G11" i="3"/>
  <c r="J21" i="4"/>
  <c r="C25" i="4" s="1"/>
  <c r="K20" i="4" s="1"/>
  <c r="I21" i="4"/>
  <c r="C24" i="4" s="1"/>
  <c r="H16" i="3"/>
  <c r="H19" i="3"/>
  <c r="H18" i="3"/>
  <c r="G17" i="3"/>
  <c r="G19" i="3"/>
  <c r="G18" i="3"/>
  <c r="H17" i="3"/>
  <c r="H15" i="3"/>
  <c r="H13" i="3"/>
  <c r="H14" i="3"/>
  <c r="H12" i="3"/>
  <c r="H11" i="3"/>
  <c r="G16" i="3"/>
  <c r="G15" i="3"/>
  <c r="G13" i="3"/>
  <c r="G12" i="3"/>
  <c r="G14" i="3"/>
  <c r="Q14" i="1"/>
  <c r="R14" i="1" s="1"/>
  <c r="I15" i="2"/>
  <c r="I17" i="2"/>
  <c r="I16" i="2"/>
  <c r="I11" i="2"/>
  <c r="I12" i="2"/>
  <c r="I13" i="2"/>
  <c r="I14" i="2"/>
  <c r="H13" i="1"/>
  <c r="H12" i="1"/>
  <c r="H11" i="1"/>
  <c r="H14" i="1"/>
  <c r="H16" i="1" l="1"/>
  <c r="M12" i="6"/>
  <c r="M11" i="6"/>
  <c r="G20" i="6"/>
  <c r="I20" i="6" s="1"/>
  <c r="H20" i="6"/>
  <c r="K51" i="6"/>
  <c r="G21" i="6"/>
  <c r="I21" i="6" s="1"/>
  <c r="I29" i="6" s="1"/>
  <c r="H21" i="6"/>
  <c r="L20" i="6"/>
  <c r="I15" i="6"/>
  <c r="H20" i="3"/>
  <c r="C26" i="3" s="1"/>
  <c r="K18" i="4"/>
  <c r="K15" i="4"/>
  <c r="K19" i="4"/>
  <c r="K13" i="4"/>
  <c r="M19" i="4"/>
  <c r="M13" i="4"/>
  <c r="M15" i="4"/>
  <c r="M14" i="4"/>
  <c r="M17" i="4"/>
  <c r="M18" i="4"/>
  <c r="M16" i="4"/>
  <c r="K16" i="4"/>
  <c r="M20" i="4"/>
  <c r="K17" i="4"/>
  <c r="M12" i="4"/>
  <c r="K12" i="4"/>
  <c r="K14" i="4"/>
  <c r="G20" i="3"/>
  <c r="I18" i="2"/>
  <c r="C22" i="2" s="1"/>
  <c r="K16" i="2"/>
  <c r="K17" i="2"/>
  <c r="K12" i="2"/>
  <c r="L18" i="2"/>
  <c r="K14" i="2"/>
  <c r="K11" i="2"/>
  <c r="K13" i="2"/>
  <c r="K15" i="2"/>
  <c r="D8" i="8" l="1"/>
  <c r="F8" i="8" s="1"/>
  <c r="G8" i="8" s="1"/>
  <c r="L21" i="6"/>
  <c r="J20" i="6"/>
  <c r="M20" i="6"/>
  <c r="J21" i="6"/>
  <c r="J29" i="6" s="1"/>
  <c r="M21" i="6"/>
  <c r="L29" i="6"/>
  <c r="K18" i="2"/>
  <c r="C23" i="2" s="1"/>
  <c r="L24" i="2" s="1"/>
  <c r="C25" i="3"/>
  <c r="L26" i="3" s="1"/>
  <c r="H8" i="8" l="1" a="1"/>
  <c r="H8" i="8" s="1"/>
  <c r="I8" i="8" s="1"/>
  <c r="B9" i="8"/>
  <c r="C9" i="8" s="1"/>
  <c r="D9" i="8" s="1"/>
  <c r="F9" i="8" s="1"/>
  <c r="G9" i="8" s="1"/>
  <c r="M29" i="6"/>
  <c r="I11" i="3"/>
  <c r="I16" i="3"/>
  <c r="I13" i="3"/>
  <c r="I14" i="3"/>
  <c r="I19" i="3"/>
  <c r="I15" i="3"/>
  <c r="I18" i="3"/>
  <c r="I12" i="3"/>
  <c r="I17" i="3"/>
  <c r="K21" i="4"/>
  <c r="C26" i="4" s="1"/>
  <c r="H9" i="8" l="1" a="1"/>
  <c r="H9" i="8" s="1"/>
  <c r="I9" i="8" s="1"/>
  <c r="B10" i="8"/>
  <c r="C10" i="8" s="1"/>
  <c r="M21" i="4"/>
  <c r="C27" i="4" s="1"/>
  <c r="L27" i="4" s="1"/>
  <c r="F9" i="5"/>
  <c r="F13" i="5" s="1"/>
  <c r="B16" i="5" s="1"/>
  <c r="H11" i="5" l="1"/>
  <c r="H8" i="5"/>
  <c r="H12" i="5"/>
  <c r="H7" i="5"/>
  <c r="H10" i="5"/>
  <c r="H9" i="5"/>
  <c r="H6" i="5"/>
  <c r="H5" i="5"/>
  <c r="H13" i="5" l="1"/>
  <c r="D10" i="8" l="1"/>
  <c r="F10" i="8" s="1"/>
  <c r="G10" i="8" s="1"/>
  <c r="B17" i="5"/>
  <c r="I12" i="5" s="1"/>
  <c r="H10" i="8" l="1" a="1"/>
  <c r="H10" i="8" s="1"/>
  <c r="I10" i="8" s="1"/>
  <c r="B11" i="8"/>
  <c r="C11" i="8" s="1"/>
  <c r="I9" i="5"/>
  <c r="I7" i="5"/>
  <c r="I6" i="5"/>
  <c r="I8" i="5"/>
  <c r="I5" i="5"/>
  <c r="I10" i="5"/>
  <c r="I11" i="5"/>
  <c r="G50" i="6"/>
  <c r="G51" i="6" s="1"/>
  <c r="B54" i="6" s="1"/>
  <c r="D11" i="8" l="1"/>
  <c r="F11" i="8" s="1"/>
  <c r="G11" i="8" s="1"/>
  <c r="I50" i="6"/>
  <c r="I49" i="6"/>
  <c r="M49" i="6"/>
  <c r="H11" i="8" l="1" a="1"/>
  <c r="H11" i="8" s="1"/>
  <c r="I11" i="8" s="1"/>
  <c r="B12" i="8"/>
  <c r="C12" i="8" s="1"/>
  <c r="D12" i="8" s="1"/>
  <c r="F12" i="8" s="1"/>
  <c r="G12" i="8" s="1"/>
  <c r="K9" i="7"/>
  <c r="J18" i="7" l="1"/>
  <c r="J19" i="7" s="1"/>
  <c r="J17" i="7"/>
  <c r="I5" i="7"/>
  <c r="H12" i="8" a="1"/>
  <c r="H12" i="8" s="1"/>
  <c r="I12" i="8" s="1"/>
  <c r="B13" i="8"/>
  <c r="C13" i="8" s="1"/>
  <c r="D13" i="8" s="1"/>
  <c r="F13" i="8" s="1"/>
  <c r="G13" i="8" s="1"/>
  <c r="H13" i="8" s="1" a="1"/>
  <c r="H13" i="8" s="1"/>
  <c r="I13" i="8" s="1"/>
  <c r="I6" i="7"/>
  <c r="I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<sst xmlns="http://schemas.openxmlformats.org/spreadsheetml/2006/main" count="453" uniqueCount="236">
  <si>
    <t>b</t>
  </si>
  <si>
    <t>t</t>
  </si>
  <si>
    <t>(in)</t>
  </si>
  <si>
    <t>b/t</t>
  </si>
  <si>
    <t>α</t>
  </si>
  <si>
    <t>β</t>
  </si>
  <si>
    <r>
      <t>J</t>
    </r>
    <r>
      <rPr>
        <b/>
        <vertAlign val="subscript"/>
        <sz val="11"/>
        <color theme="1"/>
        <rFont val="Calibri"/>
        <family val="2"/>
        <scheme val="minor"/>
      </rPr>
      <t>α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</si>
  <si>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β</t>
    </r>
  </si>
  <si>
    <t>τ</t>
  </si>
  <si>
    <r>
      <t>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</si>
  <si>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(psi)</t>
  </si>
  <si>
    <t>T</t>
  </si>
  <si>
    <t>(lb-in)</t>
  </si>
  <si>
    <t>φ</t>
  </si>
  <si>
    <t>(rad)</t>
  </si>
  <si>
    <t>L</t>
  </si>
  <si>
    <t>G</t>
  </si>
  <si>
    <t>Max ^</t>
  </si>
  <si>
    <t>Σ ^</t>
  </si>
  <si>
    <t>(deg)</t>
  </si>
  <si>
    <t>Non Circular Sections</t>
  </si>
  <si>
    <t>Circular Sections</t>
  </si>
  <si>
    <t>R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</si>
  <si>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</si>
  <si>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J</t>
  </si>
  <si>
    <t>A</t>
  </si>
  <si>
    <t>(Pa)</t>
  </si>
  <si>
    <t>(Kip-in)</t>
  </si>
  <si>
    <r>
      <t>(in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</si>
  <si>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</si>
  <si>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q</t>
  </si>
  <si>
    <t>a</t>
  </si>
  <si>
    <t>Thin-walled, Closed Section</t>
  </si>
  <si>
    <t>The Ultimate Area and Cross Section Finder 3000</t>
  </si>
  <si>
    <t>Rectangle</t>
  </si>
  <si>
    <t>Triangle</t>
  </si>
  <si>
    <t>Circle</t>
  </si>
  <si>
    <t>r</t>
  </si>
  <si>
    <t>Specs</t>
  </si>
  <si>
    <t>d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</si>
  <si>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</si>
  <si>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</si>
  <si>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q</t>
    </r>
    <r>
      <rPr>
        <vertAlign val="subscript"/>
        <sz val="11"/>
        <color theme="1"/>
        <rFont val="Calibri"/>
        <family val="2"/>
        <scheme val="minor"/>
      </rPr>
      <t>tot</t>
    </r>
  </si>
  <si>
    <r>
      <t>A</t>
    </r>
    <r>
      <rPr>
        <vertAlign val="subscript"/>
        <sz val="11"/>
        <color theme="1"/>
        <rFont val="Calibri"/>
        <family val="2"/>
        <scheme val="minor"/>
      </rPr>
      <t>tot</t>
    </r>
  </si>
  <si>
    <r>
      <t>τ</t>
    </r>
    <r>
      <rPr>
        <b/>
        <vertAlign val="subscript"/>
        <sz val="11"/>
        <color theme="1"/>
        <rFont val="Calibri"/>
        <family val="2"/>
      </rPr>
      <t>tot</t>
    </r>
  </si>
  <si>
    <t>Circ</t>
  </si>
  <si>
    <t># of length uses in circ</t>
  </si>
  <si>
    <t>(lb/in)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</si>
  <si>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r</t>
    </r>
  </si>
  <si>
    <r>
      <t>q</t>
    </r>
    <r>
      <rPr>
        <b/>
        <vertAlign val="subscript"/>
        <sz val="11"/>
        <color theme="1"/>
        <rFont val="Calibri"/>
        <family val="2"/>
      </rPr>
      <t>i</t>
    </r>
    <r>
      <rPr>
        <b/>
        <sz val="11"/>
        <color theme="1"/>
        <rFont val="Calibri"/>
        <family val="2"/>
      </rPr>
      <t>/t</t>
    </r>
    <r>
      <rPr>
        <b/>
        <vertAlign val="subscript"/>
        <sz val="11"/>
        <color theme="1"/>
        <rFont val="Calibri"/>
        <family val="2"/>
      </rPr>
      <t>i</t>
    </r>
  </si>
  <si>
    <r>
      <t>(lb/in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</si>
  <si>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τ</t>
    </r>
    <r>
      <rPr>
        <b/>
        <vertAlign val="subscript"/>
        <sz val="11"/>
        <color theme="1"/>
        <rFont val="Calibri"/>
        <family val="2"/>
      </rPr>
      <t>a</t>
    </r>
  </si>
  <si>
    <r>
      <t>τ</t>
    </r>
    <r>
      <rPr>
        <b/>
        <vertAlign val="subscript"/>
        <sz val="11"/>
        <color theme="1"/>
        <rFont val="Calibri"/>
        <family val="2"/>
      </rPr>
      <t>b</t>
    </r>
  </si>
  <si>
    <t>h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</si>
  <si>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h</t>
    </r>
  </si>
  <si>
    <t>1D and 2D Bending of Symmetric Section</t>
  </si>
  <si>
    <r>
      <t>(in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</si>
  <si>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(in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</si>
  <si>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(in</t>
    </r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</si>
  <si>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t>No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</si>
  <si>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</si>
  <si>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</si>
  <si>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</si>
  <si>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</si>
  <si>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</si>
  <si>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</si>
  <si>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</si>
  <si>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-Y)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</si>
  <si>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</si>
  <si>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</si>
  <si>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</si>
  <si>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</si>
  <si>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-Y)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</si>
  <si>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ΣI</t>
    </r>
    <r>
      <rPr>
        <b/>
        <vertAlign val="subscript"/>
        <sz val="11"/>
        <color theme="1"/>
        <rFont val="Calibri"/>
        <family val="2"/>
        <scheme val="minor"/>
      </rPr>
      <t>xi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</si>
  <si>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</si>
  <si>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ΣI</t>
    </r>
    <r>
      <rPr>
        <b/>
        <vertAlign val="subscript"/>
        <sz val="11"/>
        <color theme="1"/>
        <rFont val="Calibri"/>
        <family val="2"/>
        <scheme val="minor"/>
      </rPr>
      <t>yi</t>
    </r>
  </si>
  <si>
    <r>
      <t>X = 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/ΣA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</si>
  <si>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Y = 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/ΣA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</si>
  <si>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Σl</t>
    </r>
    <r>
      <rPr>
        <b/>
        <vertAlign val="subscript"/>
        <sz val="11"/>
        <color theme="1"/>
        <rFont val="Calibri"/>
        <family val="2"/>
        <scheme val="minor"/>
      </rPr>
      <t>xi</t>
    </r>
    <r>
      <rPr>
        <b/>
        <sz val="11"/>
        <color theme="1"/>
        <rFont val="Calibri"/>
        <family val="2"/>
        <scheme val="minor"/>
      </rPr>
      <t>+ΣA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-Y)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</si>
  <si>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= Σl</t>
    </r>
    <r>
      <rPr>
        <b/>
        <vertAlign val="subscript"/>
        <sz val="11"/>
        <color theme="1"/>
        <rFont val="Calibri"/>
        <family val="2"/>
        <scheme val="minor"/>
      </rPr>
      <t>yi</t>
    </r>
    <r>
      <rPr>
        <b/>
        <sz val="11"/>
        <color theme="1"/>
        <rFont val="Calibri"/>
        <family val="2"/>
        <scheme val="minor"/>
      </rPr>
      <t>+ΣA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</si>
  <si>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in</t>
    </r>
    <r>
      <rPr>
        <vertAlign val="superscript"/>
        <sz val="11"/>
        <color theme="1"/>
        <rFont val="Calibri"/>
        <family val="2"/>
        <scheme val="minor"/>
      </rPr>
      <t>4</t>
    </r>
  </si>
  <si>
    <t>in</t>
  </si>
  <si>
    <r>
      <t>σ</t>
    </r>
    <r>
      <rPr>
        <b/>
        <vertAlign val="subscript"/>
        <sz val="11"/>
        <rFont val="Calibri"/>
        <family val="2"/>
        <scheme val="minor"/>
      </rPr>
      <t>i</t>
    </r>
  </si>
  <si>
    <r>
      <t>M</t>
    </r>
    <r>
      <rPr>
        <b/>
        <vertAlign val="subscript"/>
        <sz val="11"/>
        <rFont val="Calibri"/>
        <family val="2"/>
        <scheme val="minor"/>
      </rPr>
      <t>y</t>
    </r>
  </si>
  <si>
    <r>
      <t>M</t>
    </r>
    <r>
      <rPr>
        <b/>
        <vertAlign val="subscript"/>
        <sz val="11"/>
        <rFont val="Calibri"/>
        <family val="2"/>
        <scheme val="minor"/>
      </rPr>
      <t>x</t>
    </r>
  </si>
  <si>
    <t>(ksi)</t>
  </si>
  <si>
    <t>P</t>
  </si>
  <si>
    <t>(kip-in)</t>
  </si>
  <si>
    <t>(kip)</t>
  </si>
  <si>
    <r>
      <t>τ</t>
    </r>
    <r>
      <rPr>
        <b/>
        <vertAlign val="subscript"/>
        <sz val="11"/>
        <color theme="1"/>
        <rFont val="Calibri"/>
        <family val="2"/>
      </rPr>
      <t>h</t>
    </r>
  </si>
  <si>
    <r>
      <t>τ</t>
    </r>
    <r>
      <rPr>
        <b/>
        <vertAlign val="subscript"/>
        <sz val="11"/>
        <color theme="1"/>
        <rFont val="Calibri"/>
        <family val="2"/>
      </rPr>
      <t>r</t>
    </r>
  </si>
  <si>
    <t>Calculate Stress</t>
  </si>
  <si>
    <r>
      <t>I</t>
    </r>
    <r>
      <rPr>
        <b/>
        <vertAlign val="subscript"/>
        <sz val="11"/>
        <color theme="1"/>
        <rFont val="Calibri"/>
        <family val="2"/>
        <scheme val="minor"/>
      </rPr>
      <t>xi</t>
    </r>
    <r>
      <rPr>
        <b/>
        <sz val="11"/>
        <color theme="1"/>
        <rFont val="Calibri"/>
        <family val="2"/>
        <scheme val="minor"/>
      </rPr>
      <t>=b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/12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</si>
  <si>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yi</t>
    </r>
    <r>
      <rPr>
        <b/>
        <sz val="11"/>
        <color theme="1"/>
        <rFont val="Calibri"/>
        <family val="2"/>
        <scheme val="minor"/>
      </rPr>
      <t>=h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/12</t>
    </r>
  </si>
  <si>
    <t>Note: Right Hand Rule</t>
  </si>
  <si>
    <t>Circumference</t>
  </si>
  <si>
    <t>Length (in)</t>
  </si>
  <si>
    <t>Thickness (in)</t>
  </si>
  <si>
    <t>Circle Specific</t>
  </si>
  <si>
    <t>Question # 8</t>
  </si>
  <si>
    <t>fi=Mx(yi-Y)/Ix-My(xi-X)/Iy</t>
  </si>
  <si>
    <r>
      <t>I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-Y)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</si>
  <si>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= ΣA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</si>
  <si>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I</t>
  </si>
  <si>
    <t>Thin Sections Approximation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</si>
  <si>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</si>
  <si>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ni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</si>
  <si>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</si>
  <si>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</si>
  <si>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-Y)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</si>
  <si>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ΣI</t>
    </r>
    <r>
      <rPr>
        <b/>
        <vertAlign val="subscript"/>
        <sz val="11"/>
        <color theme="1"/>
        <rFont val="Calibri"/>
        <family val="2"/>
        <scheme val="minor"/>
      </rPr>
      <t>nxi</t>
    </r>
  </si>
  <si>
    <r>
      <t>ΣA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</si>
  <si>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ΣI</t>
    </r>
    <r>
      <rPr>
        <b/>
        <vertAlign val="subscript"/>
        <sz val="11"/>
        <color theme="1"/>
        <rFont val="Calibri"/>
        <family val="2"/>
        <scheme val="minor"/>
      </rPr>
      <t>nyi</t>
    </r>
  </si>
  <si>
    <t>Input Dimensions, Positions, and E's</t>
  </si>
  <si>
    <t>Parameter</t>
  </si>
  <si>
    <t>Area and First Moments</t>
  </si>
  <si>
    <t>Bending About X Axis</t>
  </si>
  <si>
    <t>Bending About Y Axis</t>
  </si>
  <si>
    <t>Stress Analysis of 2D Bending Symmetric Section of Multiple Materials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</si>
  <si>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</si>
  <si>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-Y)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</si>
  <si>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</si>
  <si>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
(in)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</si>
  <si>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
(in)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</si>
  <si>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
(in)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</si>
  <si>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
(in)</t>
    </r>
  </si>
  <si>
    <r>
      <t>E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
(psi)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</si>
  <si>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
(E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/E</t>
    </r>
    <r>
      <rPr>
        <b/>
        <vertAlign val="subscript"/>
        <sz val="11"/>
        <color theme="1"/>
        <rFont val="Calibri"/>
        <family val="2"/>
        <scheme val="minor"/>
      </rPr>
      <t>ref</t>
    </r>
    <r>
      <rPr>
        <b/>
        <sz val="11"/>
        <color theme="1"/>
        <rFont val="Calibri"/>
        <family val="2"/>
        <scheme val="minor"/>
      </rPr>
      <t>)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</si>
  <si>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 xml:space="preserve">
(n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</si>
  <si>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Y = ΣA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/ΣA</t>
    </r>
    <r>
      <rPr>
        <b/>
        <vertAlign val="subscript"/>
        <sz val="11"/>
        <color theme="1"/>
        <rFont val="Calibri"/>
        <family val="2"/>
        <scheme val="minor"/>
      </rPr>
      <t>ni</t>
    </r>
  </si>
  <si>
    <r>
      <t>X = ΣA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/ΣA</t>
    </r>
    <r>
      <rPr>
        <b/>
        <vertAlign val="subscript"/>
        <sz val="11"/>
        <color theme="1"/>
        <rFont val="Calibri"/>
        <family val="2"/>
        <scheme val="minor"/>
      </rPr>
      <t>ni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</si>
  <si>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ny</t>
    </r>
    <r>
      <rPr>
        <b/>
        <sz val="11"/>
        <color theme="1"/>
        <rFont val="Calibri"/>
        <family val="2"/>
        <scheme val="minor"/>
      </rPr>
      <t xml:space="preserve"> = ΣI</t>
    </r>
    <r>
      <rPr>
        <b/>
        <vertAlign val="subscript"/>
        <sz val="11"/>
        <color theme="1"/>
        <rFont val="Calibri"/>
        <family val="2"/>
        <scheme val="minor"/>
      </rPr>
      <t>nyi</t>
    </r>
    <r>
      <rPr>
        <b/>
        <sz val="11"/>
        <color theme="1"/>
        <rFont val="Calibri"/>
        <family val="2"/>
        <scheme val="minor"/>
      </rPr>
      <t>+ΣA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-X)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</si>
  <si>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nx</t>
    </r>
    <r>
      <rPr>
        <b/>
        <sz val="11"/>
        <color theme="1"/>
        <rFont val="Calibri"/>
        <family val="2"/>
        <scheme val="minor"/>
      </rPr>
      <t xml:space="preserve"> = ΣI</t>
    </r>
    <r>
      <rPr>
        <b/>
        <vertAlign val="subscript"/>
        <sz val="11"/>
        <color theme="1"/>
        <rFont val="Calibri"/>
        <family val="2"/>
        <scheme val="minor"/>
      </rPr>
      <t>nxi</t>
    </r>
    <r>
      <rPr>
        <b/>
        <sz val="11"/>
        <color theme="1"/>
        <rFont val="Calibri"/>
        <family val="2"/>
        <scheme val="minor"/>
      </rPr>
      <t>+ΣA</t>
    </r>
    <r>
      <rPr>
        <b/>
        <vertAlign val="subscript"/>
        <sz val="11"/>
        <color theme="1"/>
        <rFont val="Calibri"/>
        <family val="2"/>
        <scheme val="minor"/>
      </rPr>
      <t>ni</t>
    </r>
    <r>
      <rPr>
        <b/>
        <sz val="11"/>
        <color theme="1"/>
        <rFont val="Calibri"/>
        <family val="2"/>
        <scheme val="minor"/>
      </rPr>
      <t>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-Y)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</si>
  <si>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nxi</t>
    </r>
    <r>
      <rPr>
        <b/>
        <sz val="11"/>
        <color theme="1"/>
        <rFont val="Calibri"/>
        <family val="2"/>
        <scheme val="minor"/>
      </rPr>
      <t xml:space="preserve">
(n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/12)</t>
    </r>
  </si>
  <si>
    <r>
      <t>I</t>
    </r>
    <r>
      <rPr>
        <b/>
        <vertAlign val="subscript"/>
        <sz val="11"/>
        <color theme="1"/>
        <rFont val="Calibri"/>
        <family val="2"/>
        <scheme val="minor"/>
      </rPr>
      <t>nyi</t>
    </r>
    <r>
      <rPr>
        <b/>
        <sz val="11"/>
        <color theme="1"/>
        <rFont val="Calibri"/>
        <family val="2"/>
        <scheme val="minor"/>
      </rPr>
      <t xml:space="preserve">
(n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h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/12)</t>
    </r>
  </si>
  <si>
    <t>Question # 4</t>
  </si>
  <si>
    <t>B</t>
  </si>
  <si>
    <t>C</t>
  </si>
  <si>
    <t>D</t>
  </si>
  <si>
    <t>E</t>
  </si>
  <si>
    <t>F</t>
  </si>
  <si>
    <t>H</t>
  </si>
  <si>
    <r>
      <t>(in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</si>
  <si>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</si>
  <si>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</si>
  <si>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</si>
  <si>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</si>
  <si>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y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</si>
  <si>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-X)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</si>
  <si>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-Y)</t>
    </r>
    <r>
      <rPr>
        <vertAlign val="superscript"/>
        <sz val="11"/>
        <color theme="1"/>
        <rFont val="Calibri"/>
        <family val="2"/>
        <scheme val="minor"/>
      </rPr>
      <t>2</t>
    </r>
  </si>
  <si>
    <t>Σ</t>
  </si>
  <si>
    <t>X</t>
  </si>
  <si>
    <t>Y</t>
  </si>
  <si>
    <r>
      <t>I</t>
    </r>
    <r>
      <rPr>
        <vertAlign val="subscript"/>
        <sz val="11"/>
        <color theme="1"/>
        <rFont val="Calibri"/>
        <family val="2"/>
        <scheme val="minor"/>
      </rPr>
      <t>xx</t>
    </r>
  </si>
  <si>
    <r>
      <t>I</t>
    </r>
    <r>
      <rPr>
        <vertAlign val="subscript"/>
        <sz val="11"/>
        <color theme="1"/>
        <rFont val="Calibri"/>
        <family val="2"/>
        <scheme val="minor"/>
      </rPr>
      <t>yy</t>
    </r>
  </si>
  <si>
    <r>
      <t>ΔP</t>
    </r>
    <r>
      <rPr>
        <vertAlign val="subscript"/>
        <sz val="11"/>
        <color theme="1"/>
        <rFont val="Calibri"/>
        <family val="2"/>
        <scheme val="minor"/>
      </rPr>
      <t>Vy</t>
    </r>
  </si>
  <si>
    <r>
      <t>V</t>
    </r>
    <r>
      <rPr>
        <vertAlign val="subscript"/>
        <sz val="11"/>
        <color theme="1"/>
        <rFont val="Calibri"/>
        <family val="2"/>
        <scheme val="minor"/>
      </rPr>
      <t>y</t>
    </r>
  </si>
  <si>
    <t>lbs</t>
  </si>
  <si>
    <r>
      <t>I</t>
    </r>
    <r>
      <rPr>
        <vertAlign val="subscript"/>
        <sz val="11"/>
        <color theme="1"/>
        <rFont val="Calibri"/>
        <family val="2"/>
        <scheme val="minor"/>
      </rPr>
      <t>xi</t>
    </r>
  </si>
  <si>
    <r>
      <t>w</t>
    </r>
    <r>
      <rPr>
        <vertAlign val="subscript"/>
        <sz val="11"/>
        <color theme="1"/>
        <rFont val="Calibri"/>
        <family val="2"/>
        <scheme val="minor"/>
      </rPr>
      <t>xi</t>
    </r>
  </si>
  <si>
    <r>
      <t>w</t>
    </r>
    <r>
      <rPr>
        <vertAlign val="subscript"/>
        <sz val="11"/>
        <color theme="1"/>
        <rFont val="Calibri"/>
        <family val="2"/>
        <scheme val="minor"/>
      </rPr>
      <t>yi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</si>
  <si>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</si>
  <si>
    <r>
      <t>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i</t>
    </r>
  </si>
  <si>
    <r>
      <t>M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=P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-Y)</t>
    </r>
  </si>
  <si>
    <t>psi</t>
  </si>
  <si>
    <t>Y (NA)</t>
  </si>
  <si>
    <t>Valid?</t>
  </si>
  <si>
    <t>Δh</t>
  </si>
  <si>
    <r>
      <t>F</t>
    </r>
    <r>
      <rPr>
        <vertAlign val="subscript"/>
        <sz val="11"/>
        <color theme="1"/>
        <rFont val="Calibri"/>
        <family val="2"/>
        <scheme val="minor"/>
      </rPr>
      <t>U</t>
    </r>
  </si>
  <si>
    <r>
      <t>F</t>
    </r>
    <r>
      <rPr>
        <vertAlign val="subscript"/>
        <sz val="11"/>
        <color theme="1"/>
        <rFont val="Calibri"/>
        <family val="2"/>
        <scheme val="minor"/>
      </rPr>
      <t>L</t>
    </r>
  </si>
  <si>
    <t>Q</t>
  </si>
  <si>
    <t>k Shape</t>
  </si>
  <si>
    <t>fm</t>
  </si>
  <si>
    <t>fo</t>
  </si>
  <si>
    <t>c</t>
  </si>
  <si>
    <t>Ix</t>
  </si>
  <si>
    <r>
      <t>Ix</t>
    </r>
    <r>
      <rPr>
        <vertAlign val="subscript"/>
        <sz val="11"/>
        <color theme="1"/>
        <rFont val="Calibri"/>
        <family val="2"/>
        <scheme val="minor"/>
      </rPr>
      <t>i</t>
    </r>
  </si>
  <si>
    <r>
      <t>Q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</si>
  <si>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c</t>
    </r>
  </si>
  <si>
    <r>
      <t>M</t>
    </r>
    <r>
      <rPr>
        <vertAlign val="subscript"/>
        <sz val="11"/>
        <color theme="1"/>
        <rFont val="Calibri"/>
        <family val="2"/>
        <scheme val="minor"/>
      </rPr>
      <t>c</t>
    </r>
  </si>
  <si>
    <t>Pi = fiAi</t>
  </si>
  <si>
    <t>Mi = Pi(yi-Y)</t>
  </si>
  <si>
    <t>ME = (I/c)Ftu</t>
  </si>
  <si>
    <t xml:space="preserve">  </t>
  </si>
  <si>
    <t>Elasto - Plastic Method</t>
  </si>
  <si>
    <t>no</t>
  </si>
  <si>
    <t>&lt;------- UPPER NA FLANGE</t>
  </si>
  <si>
    <t>&lt;------- LOWER NA FLANGE</t>
  </si>
  <si>
    <t>&lt;------- BOTTOM FLANGE</t>
  </si>
  <si>
    <t>NO</t>
  </si>
  <si>
    <r>
      <t>f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
(ksi)</t>
    </r>
  </si>
  <si>
    <r>
      <t>f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
(ksi)</t>
    </r>
  </si>
  <si>
    <r>
      <t>f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
(ksi)</t>
    </r>
  </si>
  <si>
    <r>
      <t>f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
(ksi)</t>
    </r>
  </si>
  <si>
    <r>
      <t>MS</t>
    </r>
    <r>
      <rPr>
        <vertAlign val="subscript"/>
        <sz val="11"/>
        <color theme="1"/>
        <rFont val="Calibri"/>
        <family val="2"/>
        <scheme val="minor"/>
      </rPr>
      <t>inf</t>
    </r>
  </si>
  <si>
    <r>
      <t>f</t>
    </r>
    <r>
      <rPr>
        <vertAlign val="subscript"/>
        <sz val="11"/>
        <color theme="1"/>
        <rFont val="Calibri"/>
        <family val="2"/>
        <scheme val="minor"/>
      </rPr>
      <t>rev</t>
    </r>
    <r>
      <rPr>
        <sz val="11"/>
        <color theme="1"/>
        <rFont val="Calibri"/>
        <family val="2"/>
        <scheme val="minor"/>
      </rPr>
      <t xml:space="preserve">
(ksi)</t>
    </r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</si>
  <si>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
(no)</t>
    </r>
  </si>
  <si>
    <r>
      <t>D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/N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</si>
  <si>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tu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</si>
  <si>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</si>
  <si>
    <t>ksi</t>
  </si>
  <si>
    <t>f</t>
  </si>
  <si>
    <r>
      <t>fF</t>
    </r>
    <r>
      <rPr>
        <vertAlign val="subscript"/>
        <sz val="11"/>
        <color theme="1"/>
        <rFont val="Calibri"/>
        <family val="2"/>
        <scheme val="minor"/>
      </rPr>
      <t>tu</t>
    </r>
  </si>
  <si>
    <t>Marin</t>
  </si>
  <si>
    <t>Langer</t>
  </si>
  <si>
    <t>Soderberg</t>
  </si>
  <si>
    <t>Modified-Goodman</t>
  </si>
  <si>
    <t>Gerber</t>
  </si>
  <si>
    <t>ASME</t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</si>
  <si>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
(no)</t>
    </r>
  </si>
  <si>
    <r>
      <t>F</t>
    </r>
    <r>
      <rPr>
        <vertAlign val="subscript"/>
        <sz val="11"/>
        <color theme="1"/>
        <rFont val="Calibri"/>
        <family val="2"/>
        <scheme val="minor"/>
      </rPr>
      <t>ty</t>
    </r>
  </si>
  <si>
    <t>Miner's Rule for Cumulative Fatigue Strength</t>
  </si>
  <si>
    <t>m</t>
  </si>
  <si>
    <t>Bavg</t>
  </si>
  <si>
    <t>delta(Stress)</t>
  </si>
  <si>
    <t>af</t>
  </si>
  <si>
    <t>ai</t>
  </si>
  <si>
    <t>N</t>
  </si>
  <si>
    <t>MS</t>
  </si>
  <si>
    <t>δa</t>
  </si>
  <si>
    <t>KIC</t>
  </si>
  <si>
    <t xml:space="preserve">B = </t>
  </si>
  <si>
    <r>
      <t>K</t>
    </r>
    <r>
      <rPr>
        <vertAlign val="subscript"/>
        <sz val="11"/>
        <color theme="1"/>
        <rFont val="Calibri"/>
        <family val="2"/>
        <scheme val="minor"/>
      </rPr>
      <t>i+1</t>
    </r>
  </si>
  <si>
    <r>
      <t>a</t>
    </r>
    <r>
      <rPr>
        <vertAlign val="subscript"/>
        <sz val="11"/>
        <color theme="1"/>
        <rFont val="Calibri"/>
        <family val="2"/>
        <scheme val="minor"/>
      </rPr>
      <t>i+1</t>
    </r>
  </si>
  <si>
    <r>
      <t>ΔK</t>
    </r>
    <r>
      <rPr>
        <vertAlign val="subscript"/>
        <sz val="11"/>
        <color theme="1"/>
        <rFont val="Calibri"/>
        <family val="2"/>
        <scheme val="minor"/>
      </rPr>
      <t>IC</t>
    </r>
  </si>
  <si>
    <t>Bf</t>
  </si>
  <si>
    <t>Bi</t>
  </si>
  <si>
    <r>
      <t>K</t>
    </r>
    <r>
      <rPr>
        <vertAlign val="subscript"/>
        <sz val="11"/>
        <color theme="1"/>
        <rFont val="Calibri"/>
        <family val="2"/>
        <scheme val="minor"/>
      </rPr>
      <t>IC</t>
    </r>
  </si>
  <si>
    <r>
      <t>f</t>
    </r>
    <r>
      <rPr>
        <vertAlign val="subscript"/>
        <sz val="11"/>
        <color theme="1"/>
        <rFont val="Calibri"/>
        <family val="2"/>
        <scheme val="minor"/>
      </rPr>
      <t>min</t>
    </r>
  </si>
  <si>
    <r>
      <t>f</t>
    </r>
    <r>
      <rPr>
        <vertAlign val="subscript"/>
        <sz val="11"/>
        <color theme="1"/>
        <rFont val="Calibri"/>
        <family val="2"/>
        <scheme val="minor"/>
      </rPr>
      <t>max</t>
    </r>
  </si>
  <si>
    <t>Δf</t>
  </si>
  <si>
    <r>
      <t>ksi-in</t>
    </r>
    <r>
      <rPr>
        <vertAlign val="superscript"/>
        <sz val="11"/>
        <color theme="1"/>
        <rFont val="Calibri"/>
        <family val="2"/>
        <scheme val="minor"/>
      </rPr>
      <t>1/2</t>
    </r>
  </si>
  <si>
    <t>cycles</t>
  </si>
  <si>
    <t>% error</t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</si>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</sst>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202124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MS Reference Sans 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92D05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92D050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92D050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rgb="FF92D05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50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1" xfId="0" applyFill="1" applyBorder="1"/>
    <xf numFmtId="0" fontId="1" fillId="0" borderId="8" xfId="0" applyFont="1" applyBorder="1"/>
    <xf numFmtId="0" fontId="1" fillId="0" borderId="9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0" fillId="0" borderId="18" xfId="0" applyBorder="1"/>
    <xf numFmtId="0" fontId="1" fillId="0" borderId="13" xfId="0" applyFont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23" xfId="0" applyFont="1" applyFill="1" applyBorder="1"/>
    <xf numFmtId="0" fontId="0" fillId="2" borderId="28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0" fillId="0" borderId="31" xfId="0" applyFill="1" applyBorder="1"/>
    <xf numFmtId="0" fontId="0" fillId="0" borderId="31" xfId="0" applyNumberFormat="1" applyFill="1" applyBorder="1" applyAlignment="1"/>
    <xf numFmtId="0" fontId="0" fillId="2" borderId="31" xfId="0" applyFont="1" applyFill="1" applyBorder="1"/>
    <xf numFmtId="0" fontId="0" fillId="3" borderId="31" xfId="0" applyFill="1" applyBorder="1"/>
    <xf numFmtId="0" fontId="0" fillId="0" borderId="32" xfId="0" applyFill="1" applyBorder="1"/>
    <xf numFmtId="0" fontId="0" fillId="0" borderId="34" xfId="0" applyFill="1" applyBorder="1"/>
    <xf numFmtId="0" fontId="0" fillId="0" borderId="35" xfId="0" applyFill="1" applyBorder="1"/>
    <xf numFmtId="3" fontId="0" fillId="0" borderId="37" xfId="0" applyNumberFormat="1" applyFill="1" applyBorder="1" applyAlignment="1"/>
    <xf numFmtId="0" fontId="0" fillId="0" borderId="36" xfId="0" applyFill="1" applyBorder="1" applyAlignment="1"/>
    <xf numFmtId="0" fontId="0" fillId="0" borderId="37" xfId="0" applyFill="1" applyBorder="1"/>
    <xf numFmtId="0" fontId="0" fillId="0" borderId="36" xfId="0" applyFill="1" applyBorder="1"/>
    <xf numFmtId="0" fontId="1" fillId="0" borderId="35" xfId="0" applyFont="1" applyFill="1" applyBorder="1"/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1" xfId="0" applyBorder="1" applyAlignment="1">
      <alignment horizontal="center"/>
    </xf>
    <xf numFmtId="11" fontId="0" fillId="0" borderId="1" xfId="0" applyNumberFormat="1" applyBorder="1"/>
    <xf numFmtId="0" fontId="2" fillId="0" borderId="38" xfId="0" applyFont="1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9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3" fontId="0" fillId="0" borderId="24" xfId="0" applyNumberFormat="1" applyFill="1" applyBorder="1" applyAlignment="1"/>
    <xf numFmtId="0" fontId="0" fillId="0" borderId="24" xfId="0" applyFill="1" applyBorder="1" applyAlignment="1"/>
    <xf numFmtId="0" fontId="0" fillId="0" borderId="24" xfId="0" applyFill="1" applyBorder="1"/>
    <xf numFmtId="0" fontId="0" fillId="2" borderId="33" xfId="0" applyNumberFormat="1" applyFont="1" applyFill="1" applyBorder="1" applyAlignment="1"/>
    <xf numFmtId="0" fontId="0" fillId="2" borderId="31" xfId="0" applyNumberFormat="1" applyFont="1" applyFill="1" applyBorder="1"/>
    <xf numFmtId="0" fontId="0" fillId="0" borderId="44" xfId="0" applyBorder="1"/>
    <xf numFmtId="0" fontId="0" fillId="0" borderId="45" xfId="0" applyBorder="1"/>
    <xf numFmtId="0" fontId="8" fillId="0" borderId="2" xfId="0" applyFont="1" applyBorder="1"/>
    <xf numFmtId="0" fontId="1" fillId="0" borderId="45" xfId="0" applyFont="1" applyBorder="1"/>
    <xf numFmtId="3" fontId="0" fillId="2" borderId="48" xfId="0" applyNumberFormat="1" applyFill="1" applyBorder="1"/>
    <xf numFmtId="0" fontId="0" fillId="2" borderId="47" xfId="0" applyFill="1" applyBorder="1"/>
    <xf numFmtId="3" fontId="0" fillId="2" borderId="47" xfId="0" applyNumberFormat="1" applyFill="1" applyBorder="1"/>
    <xf numFmtId="0" fontId="0" fillId="0" borderId="1" xfId="0" applyFill="1" applyBorder="1"/>
    <xf numFmtId="0" fontId="0" fillId="2" borderId="2" xfId="0" applyFill="1" applyBorder="1"/>
    <xf numFmtId="0" fontId="1" fillId="0" borderId="44" xfId="0" applyFont="1" applyBorder="1"/>
    <xf numFmtId="0" fontId="0" fillId="2" borderId="44" xfId="0" applyFill="1" applyBorder="1"/>
    <xf numFmtId="0" fontId="0" fillId="2" borderId="18" xfId="0" applyFill="1" applyBorder="1"/>
    <xf numFmtId="0" fontId="0" fillId="5" borderId="1" xfId="0" applyNumberFormat="1" applyFill="1" applyBorder="1"/>
    <xf numFmtId="0" fontId="0" fillId="5" borderId="45" xfId="0" applyFill="1" applyBorder="1"/>
    <xf numFmtId="0" fontId="0" fillId="5" borderId="47" xfId="0" applyNumberFormat="1" applyFill="1" applyBorder="1"/>
    <xf numFmtId="0" fontId="0" fillId="5" borderId="46" xfId="0" applyFill="1" applyBorder="1"/>
    <xf numFmtId="0" fontId="0" fillId="5" borderId="2" xfId="0" applyNumberFormat="1" applyFill="1" applyBorder="1"/>
    <xf numFmtId="0" fontId="0" fillId="2" borderId="52" xfId="0" applyFill="1" applyBorder="1"/>
    <xf numFmtId="0" fontId="0" fillId="2" borderId="50" xfId="0" applyFill="1" applyBorder="1"/>
    <xf numFmtId="0" fontId="0" fillId="0" borderId="0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5" borderId="0" xfId="0" applyFill="1"/>
    <xf numFmtId="0" fontId="0" fillId="5" borderId="44" xfId="0" applyFill="1" applyBorder="1"/>
    <xf numFmtId="0" fontId="0" fillId="5" borderId="53" xfId="0" applyFill="1" applyBorder="1"/>
    <xf numFmtId="0" fontId="0" fillId="2" borderId="45" xfId="0" applyFill="1" applyBorder="1"/>
    <xf numFmtId="0" fontId="0" fillId="2" borderId="56" xfId="0" applyFill="1" applyBorder="1"/>
    <xf numFmtId="0" fontId="0" fillId="2" borderId="4" xfId="0" applyFill="1" applyBorder="1"/>
    <xf numFmtId="0" fontId="0" fillId="2" borderId="55" xfId="0" applyFill="1" applyBorder="1"/>
    <xf numFmtId="0" fontId="1" fillId="0" borderId="5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59" xfId="0" applyFont="1" applyFill="1" applyBorder="1" applyAlignment="1">
      <alignment horizontal="center"/>
    </xf>
    <xf numFmtId="0" fontId="0" fillId="0" borderId="2" xfId="0" applyFill="1" applyBorder="1"/>
    <xf numFmtId="0" fontId="0" fillId="2" borderId="14" xfId="0" applyFill="1" applyBorder="1"/>
    <xf numFmtId="0" fontId="0" fillId="2" borderId="54" xfId="0" applyFill="1" applyBorder="1"/>
    <xf numFmtId="0" fontId="0" fillId="5" borderId="52" xfId="0" applyFill="1" applyBorder="1"/>
    <xf numFmtId="0" fontId="0" fillId="5" borderId="54" xfId="0" applyFill="1" applyBorder="1"/>
    <xf numFmtId="0" fontId="0" fillId="5" borderId="56" xfId="0" applyFill="1" applyBorder="1"/>
    <xf numFmtId="0" fontId="0" fillId="5" borderId="3" xfId="0" applyNumberFormat="1" applyFill="1" applyBorder="1"/>
    <xf numFmtId="0" fontId="0" fillId="5" borderId="55" xfId="0" applyFill="1" applyBorder="1"/>
    <xf numFmtId="0" fontId="1" fillId="0" borderId="62" xfId="0" applyFont="1" applyBorder="1" applyAlignment="1">
      <alignment horizontal="center"/>
    </xf>
    <xf numFmtId="0" fontId="1" fillId="0" borderId="58" xfId="0" applyNumberFormat="1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60" xfId="0" applyFont="1" applyFill="1" applyBorder="1" applyAlignment="1">
      <alignment horizontal="center"/>
    </xf>
    <xf numFmtId="0" fontId="0" fillId="0" borderId="63" xfId="0" applyBorder="1"/>
    <xf numFmtId="0" fontId="0" fillId="0" borderId="65" xfId="0" applyBorder="1"/>
    <xf numFmtId="0" fontId="0" fillId="4" borderId="7" xfId="0" applyFill="1" applyBorder="1" applyAlignment="1"/>
    <xf numFmtId="0" fontId="0" fillId="4" borderId="79" xfId="0" applyFill="1" applyBorder="1" applyAlignment="1"/>
    <xf numFmtId="0" fontId="0" fillId="0" borderId="24" xfId="0" applyBorder="1"/>
    <xf numFmtId="11" fontId="0" fillId="2" borderId="47" xfId="0" applyNumberFormat="1" applyFill="1" applyBorder="1"/>
    <xf numFmtId="0" fontId="2" fillId="0" borderId="58" xfId="0" applyFont="1" applyFill="1" applyBorder="1" applyAlignment="1">
      <alignment horizontal="center"/>
    </xf>
    <xf numFmtId="0" fontId="0" fillId="0" borderId="58" xfId="0" applyBorder="1"/>
    <xf numFmtId="0" fontId="2" fillId="0" borderId="64" xfId="0" applyFont="1" applyFill="1" applyBorder="1" applyAlignment="1">
      <alignment horizontal="center"/>
    </xf>
    <xf numFmtId="0" fontId="2" fillId="0" borderId="58" xfId="0" applyFont="1" applyBorder="1"/>
    <xf numFmtId="0" fontId="2" fillId="0" borderId="60" xfId="0" applyFont="1" applyBorder="1"/>
    <xf numFmtId="0" fontId="0" fillId="5" borderId="3" xfId="0" applyFill="1" applyBorder="1"/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80" xfId="0" applyFill="1" applyBorder="1" applyAlignment="1"/>
    <xf numFmtId="0" fontId="0" fillId="4" borderId="0" xfId="0" applyFill="1" applyAlignment="1"/>
    <xf numFmtId="0" fontId="0" fillId="4" borderId="66" xfId="0" applyFill="1" applyBorder="1" applyAlignment="1"/>
    <xf numFmtId="0" fontId="0" fillId="4" borderId="70" xfId="0" applyFill="1" applyBorder="1" applyAlignment="1"/>
    <xf numFmtId="0" fontId="0" fillId="4" borderId="49" xfId="0" applyFill="1" applyBorder="1" applyAlignment="1"/>
    <xf numFmtId="0" fontId="0" fillId="4" borderId="51" xfId="0" applyFill="1" applyBorder="1" applyAlignment="1"/>
    <xf numFmtId="11" fontId="0" fillId="2" borderId="27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7" xfId="0" applyBorder="1"/>
    <xf numFmtId="0" fontId="0" fillId="0" borderId="46" xfId="0" applyBorder="1"/>
    <xf numFmtId="0" fontId="0" fillId="0" borderId="55" xfId="0" applyBorder="1"/>
    <xf numFmtId="0" fontId="0" fillId="0" borderId="56" xfId="0" applyBorder="1"/>
    <xf numFmtId="0" fontId="1" fillId="0" borderId="2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6" xfId="0" applyBorder="1"/>
    <xf numFmtId="0" fontId="1" fillId="0" borderId="84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85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0" fillId="0" borderId="89" xfId="0" applyBorder="1"/>
    <xf numFmtId="0" fontId="0" fillId="0" borderId="82" xfId="0" applyBorder="1"/>
    <xf numFmtId="0" fontId="1" fillId="0" borderId="45" xfId="0" applyFont="1" applyBorder="1" applyAlignment="1">
      <alignment horizontal="center"/>
    </xf>
    <xf numFmtId="0" fontId="0" fillId="0" borderId="0" xfId="0" applyBorder="1" applyAlignment="1"/>
    <xf numFmtId="0" fontId="0" fillId="0" borderId="49" xfId="0" applyBorder="1"/>
    <xf numFmtId="0" fontId="1" fillId="0" borderId="97" xfId="0" applyFont="1" applyBorder="1" applyAlignment="1">
      <alignment horizontal="center"/>
    </xf>
    <xf numFmtId="0" fontId="1" fillId="0" borderId="77" xfId="0" applyFont="1" applyFill="1" applyBorder="1" applyAlignment="1">
      <alignment horizontal="center"/>
    </xf>
    <xf numFmtId="0" fontId="0" fillId="0" borderId="84" xfId="0" applyBorder="1"/>
    <xf numFmtId="0" fontId="1" fillId="0" borderId="50" xfId="0" applyFont="1" applyBorder="1" applyAlignment="1">
      <alignment horizontal="center"/>
    </xf>
    <xf numFmtId="0" fontId="0" fillId="0" borderId="60" xfId="0" applyBorder="1"/>
    <xf numFmtId="0" fontId="13" fillId="0" borderId="0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" fillId="0" borderId="93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4" fillId="0" borderId="93" xfId="0" applyFont="1" applyBorder="1" applyAlignment="1">
      <alignment horizontal="center"/>
    </xf>
    <xf numFmtId="0" fontId="14" fillId="0" borderId="99" xfId="0" applyFont="1" applyBorder="1" applyAlignment="1">
      <alignment horizontal="center"/>
    </xf>
    <xf numFmtId="0" fontId="1" fillId="0" borderId="87" xfId="0" applyFont="1" applyBorder="1" applyAlignment="1">
      <alignment horizontal="center"/>
    </xf>
    <xf numFmtId="0" fontId="0" fillId="0" borderId="70" xfId="0" applyBorder="1"/>
    <xf numFmtId="0" fontId="0" fillId="0" borderId="78" xfId="0" applyBorder="1"/>
    <xf numFmtId="0" fontId="1" fillId="0" borderId="83" xfId="0" applyFont="1" applyFill="1" applyBorder="1" applyAlignment="1">
      <alignment horizontal="center"/>
    </xf>
    <xf numFmtId="0" fontId="0" fillId="0" borderId="50" xfId="0" applyBorder="1"/>
    <xf numFmtId="0" fontId="0" fillId="0" borderId="6" xfId="0" applyBorder="1"/>
    <xf numFmtId="0" fontId="0" fillId="2" borderId="98" xfId="0" applyFill="1" applyBorder="1"/>
    <xf numFmtId="0" fontId="0" fillId="2" borderId="89" xfId="0" applyFill="1" applyBorder="1"/>
    <xf numFmtId="0" fontId="0" fillId="2" borderId="46" xfId="0" applyFill="1" applyBorder="1"/>
    <xf numFmtId="0" fontId="0" fillId="2" borderId="84" xfId="0" applyFill="1" applyBorder="1"/>
    <xf numFmtId="0" fontId="0" fillId="2" borderId="60" xfId="0" applyFill="1" applyBorder="1"/>
    <xf numFmtId="0" fontId="0" fillId="2" borderId="62" xfId="0" applyFill="1" applyBorder="1"/>
    <xf numFmtId="0" fontId="0" fillId="2" borderId="51" xfId="0" applyFill="1" applyBorder="1"/>
    <xf numFmtId="0" fontId="0" fillId="2" borderId="5" xfId="0" applyFill="1" applyBorder="1"/>
    <xf numFmtId="0" fontId="0" fillId="5" borderId="5" xfId="0" applyFill="1" applyBorder="1"/>
    <xf numFmtId="0" fontId="0" fillId="5" borderId="82" xfId="0" applyFill="1" applyBorder="1" applyAlignment="1"/>
    <xf numFmtId="0" fontId="0" fillId="5" borderId="92" xfId="0" applyFill="1" applyBorder="1" applyAlignment="1"/>
    <xf numFmtId="0" fontId="0" fillId="5" borderId="91" xfId="0" applyFill="1" applyBorder="1" applyAlignment="1"/>
    <xf numFmtId="0" fontId="0" fillId="5" borderId="100" xfId="0" applyFill="1" applyBorder="1" applyAlignment="1"/>
    <xf numFmtId="0" fontId="0" fillId="5" borderId="101" xfId="0" applyFill="1" applyBorder="1" applyAlignment="1"/>
    <xf numFmtId="0" fontId="0" fillId="5" borderId="102" xfId="0" applyFill="1" applyBorder="1" applyAlignment="1"/>
    <xf numFmtId="0" fontId="1" fillId="0" borderId="96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83" xfId="0" applyFont="1" applyBorder="1" applyAlignment="1">
      <alignment horizontal="center"/>
    </xf>
    <xf numFmtId="0" fontId="14" fillId="0" borderId="98" xfId="0" applyFont="1" applyFill="1" applyBorder="1" applyAlignment="1">
      <alignment horizontal="center"/>
    </xf>
    <xf numFmtId="0" fontId="14" fillId="0" borderId="45" xfId="0" applyFont="1" applyFill="1" applyBorder="1" applyAlignment="1">
      <alignment horizontal="center"/>
    </xf>
    <xf numFmtId="0" fontId="0" fillId="0" borderId="98" xfId="0" applyBorder="1"/>
    <xf numFmtId="0" fontId="0" fillId="5" borderId="99" xfId="0" applyFill="1" applyBorder="1"/>
    <xf numFmtId="0" fontId="6" fillId="0" borderId="0" xfId="0" applyFont="1"/>
    <xf numFmtId="0" fontId="5" fillId="0" borderId="0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80" xfId="0" applyFont="1" applyBorder="1" applyAlignment="1">
      <alignment horizontal="center"/>
    </xf>
    <xf numFmtId="0" fontId="1" fillId="0" borderId="88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0" fillId="4" borderId="63" xfId="0" applyFill="1" applyBorder="1"/>
    <xf numFmtId="0" fontId="0" fillId="4" borderId="75" xfId="0" applyFill="1" applyBorder="1"/>
    <xf numFmtId="0" fontId="1" fillId="4" borderId="75" xfId="0" applyFont="1" applyFill="1" applyBorder="1" applyAlignment="1">
      <alignment horizontal="center"/>
    </xf>
    <xf numFmtId="0" fontId="0" fillId="4" borderId="51" xfId="0" applyFill="1" applyBorder="1"/>
    <xf numFmtId="0" fontId="0" fillId="4" borderId="84" xfId="0" applyFill="1" applyBorder="1"/>
    <xf numFmtId="0" fontId="0" fillId="4" borderId="104" xfId="0" applyFill="1" applyBorder="1"/>
    <xf numFmtId="0" fontId="0" fillId="4" borderId="24" xfId="0" applyFill="1" applyBorder="1"/>
    <xf numFmtId="0" fontId="1" fillId="4" borderId="49" xfId="0" applyFont="1" applyFill="1" applyBorder="1" applyAlignment="1">
      <alignment horizontal="center"/>
    </xf>
    <xf numFmtId="0" fontId="0" fillId="4" borderId="49" xfId="0" applyFill="1" applyBorder="1"/>
    <xf numFmtId="0" fontId="1" fillId="4" borderId="51" xfId="0" applyFont="1" applyFill="1" applyBorder="1" applyAlignment="1">
      <alignment horizontal="center"/>
    </xf>
    <xf numFmtId="0" fontId="0" fillId="5" borderId="105" xfId="0" applyFill="1" applyBorder="1" applyAlignment="1"/>
    <xf numFmtId="0" fontId="0" fillId="2" borderId="74" xfId="0" applyFill="1" applyBorder="1"/>
    <xf numFmtId="0" fontId="1" fillId="0" borderId="87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86" xfId="0" applyFont="1" applyFill="1" applyBorder="1" applyAlignment="1">
      <alignment horizontal="center"/>
    </xf>
    <xf numFmtId="0" fontId="0" fillId="0" borderId="71" xfId="0" applyBorder="1"/>
    <xf numFmtId="0" fontId="0" fillId="0" borderId="74" xfId="0" applyBorder="1"/>
    <xf numFmtId="0" fontId="0" fillId="0" borderId="54" xfId="0" applyBorder="1"/>
    <xf numFmtId="0" fontId="0" fillId="0" borderId="52" xfId="0" applyBorder="1"/>
    <xf numFmtId="0" fontId="0" fillId="0" borderId="94" xfId="0" applyBorder="1" applyAlignment="1">
      <alignment horizontal="right"/>
    </xf>
    <xf numFmtId="0" fontId="1" fillId="0" borderId="98" xfId="0" applyFont="1" applyBorder="1" applyAlignment="1">
      <alignment horizontal="center"/>
    </xf>
    <xf numFmtId="0" fontId="0" fillId="0" borderId="106" xfId="0" applyBorder="1"/>
    <xf numFmtId="0" fontId="0" fillId="0" borderId="63" xfId="0" applyFill="1" applyBorder="1"/>
    <xf numFmtId="0" fontId="0" fillId="0" borderId="0" xfId="0" applyFill="1" applyBorder="1" applyAlignment="1">
      <alignment horizontal="right"/>
    </xf>
    <xf numFmtId="0" fontId="1" fillId="0" borderId="51" xfId="0" applyFont="1" applyFill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63" xfId="0" applyFont="1" applyFill="1" applyBorder="1" applyAlignment="1">
      <alignment horizontal="center"/>
    </xf>
    <xf numFmtId="0" fontId="0" fillId="0" borderId="64" xfId="0" applyFill="1" applyBorder="1"/>
    <xf numFmtId="0" fontId="0" fillId="0" borderId="75" xfId="0" applyBorder="1"/>
    <xf numFmtId="0" fontId="0" fillId="0" borderId="82" xfId="0" applyBorder="1" applyAlignment="1"/>
    <xf numFmtId="0" fontId="0" fillId="2" borderId="93" xfId="0" applyFill="1" applyBorder="1"/>
    <xf numFmtId="0" fontId="0" fillId="2" borderId="96" xfId="0" applyFill="1" applyBorder="1"/>
    <xf numFmtId="0" fontId="0" fillId="0" borderId="93" xfId="0" applyBorder="1"/>
    <xf numFmtId="0" fontId="0" fillId="0" borderId="62" xfId="0" applyFill="1" applyBorder="1"/>
    <xf numFmtId="0" fontId="0" fillId="0" borderId="3" xfId="0" applyBorder="1" applyAlignment="1"/>
    <xf numFmtId="0" fontId="1" fillId="0" borderId="74" xfId="0" applyFont="1" applyFill="1" applyBorder="1" applyAlignment="1">
      <alignment horizontal="center"/>
    </xf>
    <xf numFmtId="0" fontId="0" fillId="0" borderId="93" xfId="0" applyBorder="1" applyAlignment="1"/>
    <xf numFmtId="0" fontId="1" fillId="0" borderId="96" xfId="0" applyFont="1" applyFill="1" applyBorder="1" applyAlignment="1">
      <alignment horizontal="center"/>
    </xf>
    <xf numFmtId="0" fontId="1" fillId="0" borderId="107" xfId="0" applyFont="1" applyBorder="1" applyAlignment="1">
      <alignment horizontal="center"/>
    </xf>
    <xf numFmtId="0" fontId="0" fillId="2" borderId="92" xfId="0" applyFill="1" applyBorder="1"/>
    <xf numFmtId="0" fontId="0" fillId="0" borderId="60" xfId="0" applyFill="1" applyBorder="1"/>
    <xf numFmtId="11" fontId="0" fillId="2" borderId="82" xfId="0" applyNumberFormat="1" applyFill="1" applyBorder="1"/>
    <xf numFmtId="11" fontId="0" fillId="2" borderId="92" xfId="0" applyNumberFormat="1" applyFill="1" applyBorder="1"/>
    <xf numFmtId="0" fontId="0" fillId="2" borderId="82" xfId="0" applyNumberFormat="1" applyFill="1" applyBorder="1"/>
    <xf numFmtId="0" fontId="0" fillId="0" borderId="51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1" xfId="0" applyBorder="1"/>
    <xf numFmtId="0" fontId="0" fillId="0" borderId="7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17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6" xfId="0" applyBorder="1"/>
    <xf numFmtId="0" fontId="0" fillId="0" borderId="68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109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2" borderId="96" xfId="0" applyFill="1" applyBorder="1" applyAlignment="1">
      <alignment horizontal="center"/>
    </xf>
    <xf numFmtId="0" fontId="0" fillId="2" borderId="71" xfId="0" applyFill="1" applyBorder="1" applyAlignment="1">
      <alignment horizontal="center"/>
    </xf>
    <xf numFmtId="0" fontId="0" fillId="2" borderId="74" xfId="0" applyFill="1" applyBorder="1" applyAlignment="1">
      <alignment horizontal="center"/>
    </xf>
    <xf numFmtId="0" fontId="0" fillId="2" borderId="98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5" borderId="49" xfId="0" applyFill="1" applyBorder="1"/>
    <xf numFmtId="0" fontId="0" fillId="5" borderId="51" xfId="0" applyFill="1" applyBorder="1"/>
    <xf numFmtId="0" fontId="0" fillId="5" borderId="112" xfId="0" applyFill="1" applyBorder="1"/>
    <xf numFmtId="0" fontId="0" fillId="5" borderId="90" xfId="0" applyFill="1" applyBorder="1"/>
    <xf numFmtId="0" fontId="0" fillId="5" borderId="103" xfId="0" applyFill="1" applyBorder="1"/>
    <xf numFmtId="0" fontId="0" fillId="5" borderId="92" xfId="0" applyFill="1" applyBorder="1"/>
    <xf numFmtId="0" fontId="0" fillId="2" borderId="64" xfId="0" applyFill="1" applyBorder="1"/>
    <xf numFmtId="0" fontId="0" fillId="2" borderId="23" xfId="0" applyFill="1" applyBorder="1"/>
    <xf numFmtId="0" fontId="0" fillId="0" borderId="5" xfId="0" applyBorder="1" applyAlignment="1">
      <alignment horizontal="center"/>
    </xf>
    <xf numFmtId="0" fontId="0" fillId="5" borderId="85" xfId="0" applyFill="1" applyBorder="1"/>
    <xf numFmtId="0" fontId="0" fillId="5" borderId="86" xfId="0" applyFill="1" applyBorder="1"/>
    <xf numFmtId="0" fontId="0" fillId="5" borderId="21" xfId="0" applyFill="1" applyBorder="1"/>
    <xf numFmtId="0" fontId="0" fillId="0" borderId="51" xfId="0" applyFill="1" applyBorder="1" applyAlignment="1">
      <alignment horizontal="center"/>
    </xf>
    <xf numFmtId="0" fontId="0" fillId="0" borderId="96" xfId="0" applyFill="1" applyBorder="1" applyAlignment="1">
      <alignment horizontal="center"/>
    </xf>
    <xf numFmtId="0" fontId="0" fillId="0" borderId="74" xfId="0" applyFill="1" applyBorder="1" applyAlignment="1">
      <alignment horizontal="center"/>
    </xf>
    <xf numFmtId="0" fontId="0" fillId="0" borderId="110" xfId="0" applyFont="1" applyFill="1" applyBorder="1" applyAlignment="1">
      <alignment horizontal="center"/>
    </xf>
    <xf numFmtId="0" fontId="0" fillId="0" borderId="111" xfId="0" applyFont="1" applyFill="1" applyBorder="1" applyAlignment="1">
      <alignment horizontal="center"/>
    </xf>
    <xf numFmtId="0" fontId="0" fillId="0" borderId="90" xfId="0" applyFont="1" applyFill="1" applyBorder="1" applyAlignment="1">
      <alignment horizontal="center"/>
    </xf>
    <xf numFmtId="0" fontId="0" fillId="0" borderId="110" xfId="0" applyBorder="1"/>
    <xf numFmtId="0" fontId="0" fillId="0" borderId="111" xfId="0" applyBorder="1"/>
    <xf numFmtId="0" fontId="0" fillId="0" borderId="90" xfId="0" applyBorder="1"/>
    <xf numFmtId="0" fontId="0" fillId="0" borderId="92" xfId="0" applyBorder="1"/>
    <xf numFmtId="0" fontId="0" fillId="0" borderId="91" xfId="0" applyBorder="1"/>
    <xf numFmtId="0" fontId="0" fillId="5" borderId="101" xfId="0" applyNumberFormat="1" applyFill="1" applyBorder="1" applyAlignment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2" borderId="68" xfId="0" applyFill="1" applyBorder="1"/>
    <xf numFmtId="0" fontId="0" fillId="2" borderId="69" xfId="0" applyFill="1" applyBorder="1"/>
    <xf numFmtId="0" fontId="0" fillId="2" borderId="72" xfId="0" applyFill="1" applyBorder="1"/>
    <xf numFmtId="0" fontId="0" fillId="2" borderId="73" xfId="0" applyFill="1" applyBorder="1"/>
    <xf numFmtId="0" fontId="0" fillId="0" borderId="72" xfId="0" applyBorder="1"/>
    <xf numFmtId="0" fontId="0" fillId="0" borderId="71" xfId="0" applyFill="1" applyBorder="1"/>
    <xf numFmtId="0" fontId="0" fillId="0" borderId="74" xfId="0" applyFill="1" applyBorder="1"/>
    <xf numFmtId="0" fontId="0" fillId="2" borderId="53" xfId="0" applyFill="1" applyBorder="1"/>
    <xf numFmtId="0" fontId="0" fillId="0" borderId="72" xfId="0" applyFill="1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5" borderId="1" xfId="0" applyFill="1" applyBorder="1"/>
    <xf numFmtId="0" fontId="0" fillId="5" borderId="47" xfId="0" applyFill="1" applyBorder="1"/>
    <xf numFmtId="0" fontId="0" fillId="0" borderId="21" xfId="0" applyFont="1" applyBorder="1"/>
    <xf numFmtId="0" fontId="0" fillId="5" borderId="94" xfId="0" applyFill="1" applyBorder="1"/>
    <xf numFmtId="0" fontId="0" fillId="5" borderId="95" xfId="0" applyFill="1" applyBorder="1"/>
    <xf numFmtId="0" fontId="0" fillId="0" borderId="107" xfId="0" applyBorder="1"/>
    <xf numFmtId="0" fontId="0" fillId="0" borderId="86" xfId="0" applyBorder="1"/>
    <xf numFmtId="0" fontId="0" fillId="5" borderId="95" xfId="0" applyFill="1" applyBorder="1" applyAlignment="1">
      <alignment horizontal="center" vertical="center"/>
    </xf>
    <xf numFmtId="0" fontId="0" fillId="6" borderId="113" xfId="0" applyFill="1" applyBorder="1"/>
    <xf numFmtId="0" fontId="0" fillId="0" borderId="114" xfId="0" applyBorder="1"/>
    <xf numFmtId="0" fontId="0" fillId="0" borderId="115" xfId="0" applyBorder="1"/>
    <xf numFmtId="0" fontId="7" fillId="6" borderId="113" xfId="0" applyFont="1" applyFill="1" applyBorder="1"/>
    <xf numFmtId="0" fontId="0" fillId="0" borderId="113" xfId="0" applyBorder="1"/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4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66" xfId="0" applyFill="1" applyBorder="1" applyAlignment="1">
      <alignment horizontal="left" vertical="center"/>
    </xf>
    <xf numFmtId="0" fontId="0" fillId="7" borderId="84" xfId="0" applyFill="1" applyBorder="1" applyAlignment="1">
      <alignment horizontal="right" vertical="center"/>
    </xf>
    <xf numFmtId="0" fontId="0" fillId="7" borderId="51" xfId="0" applyFill="1" applyBorder="1"/>
    <xf numFmtId="0" fontId="0" fillId="2" borderId="95" xfId="0" applyFill="1" applyBorder="1" applyAlignment="1">
      <alignment horizontal="right" vertical="center"/>
    </xf>
    <xf numFmtId="0" fontId="0" fillId="7" borderId="1" xfId="0" applyFill="1" applyBorder="1"/>
    <xf numFmtId="0" fontId="0" fillId="7" borderId="47" xfId="0" applyFill="1" applyBorder="1"/>
    <xf numFmtId="0" fontId="0" fillId="7" borderId="3" xfId="0" applyFill="1" applyBorder="1"/>
    <xf numFmtId="164" fontId="0" fillId="5" borderId="3" xfId="0" applyNumberFormat="1" applyFill="1" applyBorder="1"/>
    <xf numFmtId="0" fontId="0" fillId="2" borderId="56" xfId="0" applyFill="1" applyBorder="1" applyAlignment="1">
      <alignment horizontal="right"/>
    </xf>
    <xf numFmtId="0" fontId="0" fillId="2" borderId="44" xfId="0" applyFill="1" applyBorder="1" applyAlignment="1">
      <alignment horizontal="right"/>
    </xf>
    <xf numFmtId="164" fontId="0" fillId="5" borderId="73" xfId="0" applyNumberFormat="1" applyFill="1" applyBorder="1"/>
    <xf numFmtId="0" fontId="0" fillId="4" borderId="64" xfId="0" applyFill="1" applyBorder="1"/>
    <xf numFmtId="164" fontId="0" fillId="5" borderId="45" xfId="0" applyNumberFormat="1" applyFill="1" applyBorder="1"/>
    <xf numFmtId="164" fontId="0" fillId="5" borderId="54" xfId="0" applyNumberFormat="1" applyFill="1" applyBorder="1"/>
    <xf numFmtId="0" fontId="0" fillId="5" borderId="60" xfId="0" applyNumberFormat="1" applyFill="1" applyBorder="1"/>
    <xf numFmtId="0" fontId="0" fillId="7" borderId="90" xfId="0" applyFill="1" applyBorder="1"/>
    <xf numFmtId="0" fontId="0" fillId="7" borderId="92" xfId="0" applyFill="1" applyBorder="1"/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64" xfId="0" applyBorder="1"/>
    <xf numFmtId="0" fontId="0" fillId="0" borderId="23" xfId="0" applyFont="1" applyBorder="1" applyAlignment="1">
      <alignment horizontal="center"/>
    </xf>
    <xf numFmtId="0" fontId="0" fillId="5" borderId="66" xfId="0" applyFill="1" applyBorder="1"/>
    <xf numFmtId="0" fontId="0" fillId="5" borderId="86" xfId="0" applyNumberFormat="1" applyFill="1" applyBorder="1"/>
    <xf numFmtId="0" fontId="0" fillId="5" borderId="87" xfId="0" applyNumberFormat="1" applyFill="1" applyBorder="1"/>
    <xf numFmtId="0" fontId="0" fillId="2" borderId="85" xfId="0" applyFill="1" applyBorder="1"/>
    <xf numFmtId="0" fontId="0" fillId="2" borderId="86" xfId="0" applyNumberFormat="1" applyFill="1" applyBorder="1"/>
    <xf numFmtId="0" fontId="0" fillId="2" borderId="84" xfId="0" applyNumberFormat="1" applyFill="1" applyBorder="1"/>
    <xf numFmtId="0" fontId="0" fillId="2" borderId="90" xfId="0" applyFill="1" applyBorder="1"/>
    <xf numFmtId="0" fontId="0" fillId="2" borderId="90" xfId="0" applyNumberFormat="1" applyFill="1" applyBorder="1"/>
    <xf numFmtId="0" fontId="0" fillId="2" borderId="92" xfId="0" applyNumberFormat="1" applyFill="1" applyBorder="1"/>
    <xf numFmtId="0" fontId="0" fillId="2" borderId="86" xfId="0" applyFill="1" applyBorder="1"/>
    <xf numFmtId="0" fontId="0" fillId="5" borderId="75" xfId="0" applyNumberFormat="1" applyFill="1" applyBorder="1"/>
    <xf numFmtId="0" fontId="0" fillId="5" borderId="85" xfId="0" applyNumberFormat="1" applyFill="1" applyBorder="1"/>
    <xf numFmtId="0" fontId="0" fillId="5" borderId="66" xfId="0" applyNumberFormat="1" applyFill="1" applyBorder="1"/>
    <xf numFmtId="0" fontId="0" fillId="5" borderId="107" xfId="0" applyNumberFormat="1" applyFill="1" applyBorder="1"/>
    <xf numFmtId="0" fontId="0" fillId="5" borderId="87" xfId="0" applyFill="1" applyBorder="1"/>
    <xf numFmtId="0" fontId="0" fillId="5" borderId="83" xfId="0" applyFill="1" applyBorder="1"/>
    <xf numFmtId="0" fontId="0" fillId="0" borderId="16" xfId="0" applyFill="1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83" xfId="0" applyBorder="1" applyAlignment="1">
      <alignment horizontal="center"/>
    </xf>
    <xf numFmtId="0" fontId="0" fillId="2" borderId="94" xfId="0" applyFill="1" applyBorder="1"/>
    <xf numFmtId="0" fontId="0" fillId="2" borderId="95" xfId="0" applyFill="1" applyBorder="1"/>
    <xf numFmtId="0" fontId="0" fillId="4" borderId="0" xfId="0" applyFill="1"/>
    <xf numFmtId="0" fontId="17" fillId="0" borderId="5" xfId="0" applyFont="1" applyBorder="1" applyAlignment="1">
      <alignment horizontal="center"/>
    </xf>
    <xf numFmtId="0" fontId="0" fillId="7" borderId="83" xfId="0" applyFill="1" applyBorder="1"/>
    <xf numFmtId="0" fontId="0" fillId="7" borderId="91" xfId="0" applyFill="1" applyBorder="1"/>
    <xf numFmtId="0" fontId="0" fillId="2" borderId="83" xfId="0" applyFill="1" applyBorder="1"/>
    <xf numFmtId="0" fontId="0" fillId="2" borderId="91" xfId="0" applyNumberFormat="1" applyFill="1" applyBorder="1"/>
    <xf numFmtId="0" fontId="0" fillId="5" borderId="83" xfId="0" applyNumberFormat="1" applyFill="1" applyBorder="1"/>
    <xf numFmtId="0" fontId="0" fillId="5" borderId="91" xfId="0" applyNumberFormat="1" applyFill="1" applyBorder="1"/>
    <xf numFmtId="0" fontId="0" fillId="4" borderId="23" xfId="0" applyFill="1" applyBorder="1"/>
    <xf numFmtId="0" fontId="0" fillId="5" borderId="64" xfId="0" applyFill="1" applyBorder="1"/>
    <xf numFmtId="0" fontId="0" fillId="2" borderId="83" xfId="0" applyNumberFormat="1" applyFill="1" applyBorder="1"/>
    <xf numFmtId="0" fontId="0" fillId="0" borderId="87" xfId="0" applyBorder="1" applyAlignment="1">
      <alignment horizontal="center"/>
    </xf>
    <xf numFmtId="0" fontId="0" fillId="7" borderId="16" xfId="0" applyFill="1" applyBorder="1"/>
    <xf numFmtId="0" fontId="0" fillId="7" borderId="87" xfId="0" applyFill="1" applyBorder="1"/>
    <xf numFmtId="0" fontId="0" fillId="2" borderId="103" xfId="0" applyFill="1" applyBorder="1"/>
    <xf numFmtId="0" fontId="1" fillId="4" borderId="72" xfId="0" applyFont="1" applyFill="1" applyBorder="1" applyAlignment="1">
      <alignment horizontal="center"/>
    </xf>
    <xf numFmtId="0" fontId="0" fillId="0" borderId="73" xfId="0" applyBorder="1" applyAlignment="1"/>
    <xf numFmtId="0" fontId="0" fillId="0" borderId="74" xfId="0" applyBorder="1" applyAlignment="1"/>
    <xf numFmtId="0" fontId="1" fillId="0" borderId="59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4" borderId="67" xfId="0" applyFill="1" applyBorder="1" applyAlignment="1"/>
    <xf numFmtId="0" fontId="0" fillId="0" borderId="68" xfId="0" applyBorder="1" applyAlignment="1"/>
    <xf numFmtId="0" fontId="0" fillId="0" borderId="7" xfId="0" applyBorder="1" applyAlignment="1"/>
    <xf numFmtId="0" fontId="0" fillId="0" borderId="69" xfId="0" applyBorder="1" applyAlignment="1"/>
    <xf numFmtId="0" fontId="0" fillId="0" borderId="70" xfId="0" applyBorder="1" applyAlignment="1"/>
    <xf numFmtId="0" fontId="0" fillId="0" borderId="71" xfId="0" applyBorder="1" applyAlignment="1"/>
    <xf numFmtId="0" fontId="0" fillId="4" borderId="72" xfId="0" applyFill="1" applyBorder="1" applyAlignment="1"/>
    <xf numFmtId="0" fontId="0" fillId="0" borderId="75" xfId="0" applyBorder="1" applyAlignment="1"/>
    <xf numFmtId="0" fontId="0" fillId="0" borderId="66" xfId="0" applyBorder="1" applyAlignment="1"/>
    <xf numFmtId="0" fontId="0" fillId="0" borderId="51" xfId="0" applyBorder="1" applyAlignment="1"/>
    <xf numFmtId="0" fontId="0" fillId="4" borderId="76" xfId="0" applyFill="1" applyBorder="1" applyAlignment="1"/>
    <xf numFmtId="0" fontId="0" fillId="0" borderId="77" xfId="0" applyBorder="1" applyAlignment="1"/>
    <xf numFmtId="0" fontId="0" fillId="0" borderId="78" xfId="0" applyBorder="1" applyAlignment="1"/>
    <xf numFmtId="0" fontId="5" fillId="4" borderId="49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4" borderId="95" xfId="0" applyFont="1" applyFill="1" applyBorder="1" applyAlignment="1">
      <alignment horizontal="center"/>
    </xf>
    <xf numFmtId="0" fontId="0" fillId="0" borderId="92" xfId="0" applyBorder="1" applyAlignment="1">
      <alignment horizontal="center"/>
    </xf>
    <xf numFmtId="0" fontId="5" fillId="4" borderId="94" xfId="0" applyFont="1" applyFill="1" applyBorder="1" applyAlignment="1">
      <alignment horizontal="center"/>
    </xf>
    <xf numFmtId="0" fontId="0" fillId="0" borderId="90" xfId="0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6" fillId="4" borderId="43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5" fillId="4" borderId="61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0" borderId="0" xfId="0" applyBorder="1" applyAlignment="1"/>
    <xf numFmtId="0" fontId="2" fillId="4" borderId="67" xfId="0" applyFont="1" applyFill="1" applyBorder="1" applyAlignment="1">
      <alignment horizontal="center"/>
    </xf>
    <xf numFmtId="0" fontId="0" fillId="4" borderId="75" xfId="0" applyFill="1" applyBorder="1" applyAlignment="1"/>
    <xf numFmtId="0" fontId="1" fillId="0" borderId="95" xfId="0" applyFont="1" applyFill="1" applyBorder="1" applyAlignment="1">
      <alignment horizontal="center"/>
    </xf>
    <xf numFmtId="0" fontId="1" fillId="0" borderId="88" xfId="0" applyFont="1" applyFill="1" applyBorder="1" applyAlignment="1">
      <alignment horizontal="center"/>
    </xf>
    <xf numFmtId="0" fontId="0" fillId="0" borderId="91" xfId="0" applyBorder="1" applyAlignment="1">
      <alignment horizontal="center"/>
    </xf>
    <xf numFmtId="0" fontId="5" fillId="4" borderId="84" xfId="0" applyFont="1" applyFill="1" applyBorder="1" applyAlignment="1">
      <alignment horizontal="center"/>
    </xf>
    <xf numFmtId="0" fontId="0" fillId="0" borderId="49" xfId="0" applyBorder="1" applyAlignment="1"/>
    <xf numFmtId="0" fontId="0" fillId="0" borderId="0" xfId="0" applyAlignment="1"/>
    <xf numFmtId="0" fontId="0" fillId="0" borderId="24" xfId="0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64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" fillId="0" borderId="94" xfId="0" applyFont="1" applyBorder="1" applyAlignment="1">
      <alignment horizontal="center"/>
    </xf>
    <xf numFmtId="0" fontId="1" fillId="0" borderId="95" xfId="0" applyFont="1" applyBorder="1" applyAlignment="1">
      <alignment horizontal="center"/>
    </xf>
    <xf numFmtId="0" fontId="1" fillId="0" borderId="87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4" borderId="81" xfId="0" applyFont="1" applyFill="1" applyBorder="1" applyAlignment="1">
      <alignment horizontal="center"/>
    </xf>
    <xf numFmtId="0" fontId="0" fillId="0" borderId="81" xfId="0" applyFont="1" applyBorder="1" applyAlignment="1">
      <alignment horizontal="center"/>
    </xf>
    <xf numFmtId="0" fontId="0" fillId="0" borderId="82" xfId="0" applyFont="1" applyBorder="1" applyAlignment="1">
      <alignment horizontal="center"/>
    </xf>
    <xf numFmtId="0" fontId="0" fillId="0" borderId="95" xfId="0" applyBorder="1" applyAlignment="1"/>
    <xf numFmtId="0" fontId="0" fillId="0" borderId="103" xfId="0" applyBorder="1" applyAlignment="1"/>
    <xf numFmtId="0" fontId="0" fillId="0" borderId="92" xfId="0" applyBorder="1" applyAlignment="1"/>
    <xf numFmtId="0" fontId="5" fillId="4" borderId="104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75" xfId="0" applyFont="1" applyFill="1" applyBorder="1" applyAlignment="1">
      <alignment horizontal="center"/>
    </xf>
    <xf numFmtId="0" fontId="0" fillId="0" borderId="10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97" xfId="0" applyFont="1" applyFill="1" applyBorder="1" applyAlignment="1">
      <alignment horizontal="center" vertical="center"/>
    </xf>
    <xf numFmtId="0" fontId="0" fillId="0" borderId="93" xfId="0" applyBorder="1" applyAlignment="1">
      <alignment vertical="center"/>
    </xf>
    <xf numFmtId="0" fontId="1" fillId="0" borderId="54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1" fillId="0" borderId="87" xfId="0" applyFont="1" applyBorder="1" applyAlignment="1">
      <alignment horizontal="center" vertical="center" wrapText="1"/>
    </xf>
    <xf numFmtId="0" fontId="0" fillId="0" borderId="107" xfId="0" applyBorder="1" applyAlignment="1">
      <alignment horizontal="center" vertical="center"/>
    </xf>
    <xf numFmtId="0" fontId="1" fillId="0" borderId="97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97" xfId="0" applyFont="1" applyBorder="1" applyAlignment="1">
      <alignment horizontal="center" vertical="center"/>
    </xf>
    <xf numFmtId="0" fontId="0" fillId="0" borderId="6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ont="1" applyAlignment="1"/>
    <xf numFmtId="0" fontId="5" fillId="4" borderId="63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4" borderId="49" xfId="0" applyFont="1" applyFill="1" applyBorder="1" applyAlignment="1">
      <alignment horizontal="center" vertical="center"/>
    </xf>
    <xf numFmtId="0" fontId="5" fillId="4" borderId="63" xfId="0" applyFont="1" applyFill="1" applyBorder="1" applyAlignment="1"/>
    <xf numFmtId="0" fontId="5" fillId="4" borderId="6" xfId="0" applyFont="1" applyFill="1" applyBorder="1" applyAlignment="1">
      <alignment horizontal="center" vertical="center"/>
    </xf>
    <xf numFmtId="0" fontId="5" fillId="4" borderId="64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0" fillId="2" borderId="95" xfId="0" applyFill="1" applyBorder="1" applyAlignment="1">
      <alignment horizontal="center" vertical="center"/>
    </xf>
    <xf numFmtId="0" fontId="0" fillId="2" borderId="94" xfId="0" applyFill="1" applyBorder="1" applyAlignment="1"/>
    <xf numFmtId="0" fontId="0" fillId="0" borderId="90" xfId="0" applyBorder="1" applyAlignment="1"/>
    <xf numFmtId="11" fontId="0" fillId="2" borderId="95" xfId="0" applyNumberFormat="1" applyFill="1" applyBorder="1" applyAlignment="1">
      <alignment horizontal="center" vertical="center"/>
    </xf>
    <xf numFmtId="0" fontId="0" fillId="0" borderId="9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161925</xdr:rowOff>
    </xdr:from>
    <xdr:to>
      <xdr:col>11</xdr:col>
      <xdr:colOff>533400</xdr:colOff>
      <xdr:row>6</xdr:row>
      <xdr:rowOff>47625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8006D28-B698-4F4F-AC96-87637BE513C5}"/>
            </a:ext>
          </a:extLst>
        </xdr:cNvPr>
        <xdr:cNvSpPr txBox="1"/>
      </xdr:nvSpPr>
      <xdr:spPr>
        <a:xfrm>
          <a:off x="200025" y="419100"/>
          <a:ext cx="72009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161925</xdr:rowOff>
    </xdr:from>
    <xdr:to>
      <xdr:col>11</xdr:col>
      <xdr:colOff>533400</xdr:colOff>
      <xdr:row>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503C7B-642C-497B-A5D6-DC333402972A}"/>
            </a:ext>
          </a:extLst>
        </xdr:cNvPr>
        <xdr:cNvSpPr txBox="1"/>
      </xdr:nvSpPr>
      <xdr:spPr>
        <a:xfrm>
          <a:off x="200025" y="419100"/>
          <a:ext cx="72009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161925</xdr:rowOff>
    </xdr:from>
    <xdr:to>
      <xdr:col>11</xdr:col>
      <xdr:colOff>533400</xdr:colOff>
      <xdr:row>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8FFD60-676B-40E3-8F66-D6E112C530F9}"/>
            </a:ext>
          </a:extLst>
        </xdr:cNvPr>
        <xdr:cNvSpPr txBox="1"/>
      </xdr:nvSpPr>
      <xdr:spPr>
        <a:xfrm>
          <a:off x="200025" y="419100"/>
          <a:ext cx="72294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8</xdr:col>
      <xdr:colOff>762000</xdr:colOff>
      <xdr:row>1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B1AB50-C24B-49F9-9648-DC5D5689E662}"/>
            </a:ext>
          </a:extLst>
        </xdr:cNvPr>
        <xdr:cNvSpPr txBox="1"/>
      </xdr:nvSpPr>
      <xdr:spPr>
        <a:xfrm>
          <a:off x="19050" y="9525"/>
          <a:ext cx="56197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 b="1"/>
            <a:t>Problem</a:t>
          </a:r>
          <a:r>
            <a:rPr lang="en-US" sz="2400" b="1" baseline="0"/>
            <a:t> #6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180975</xdr:rowOff>
    </xdr:from>
    <xdr:to>
      <xdr:col>9</xdr:col>
      <xdr:colOff>9524</xdr:colOff>
      <xdr:row>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EA6617-C687-47A4-9908-3AD3B4E973C4}"/>
            </a:ext>
          </a:extLst>
        </xdr:cNvPr>
        <xdr:cNvSpPr txBox="1"/>
      </xdr:nvSpPr>
      <xdr:spPr>
        <a:xfrm>
          <a:off x="9524" y="180975"/>
          <a:ext cx="57245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3000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9525</xdr:colOff>
      <xdr:row>4</xdr:row>
      <xdr:rowOff>152337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E5E90A-062B-4E44-82F1-01177D194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734050" cy="723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024A-4960-4CC8-AD21-22ED7EEA4713}">
  <dimension ref="A1:V60"/>
  <sheetViews>
    <sheetView workbookViewId="0">
      <selection activeCell="F12" sqref="F12"/>
    </sheetView>
  </sheetViews>
  <sheetFormatPr defaultRowHeight="15" x14ac:dyDescent="0.25"/>
  <cols>
    <col min="5" max="5" width="12" bestFit="1" customWidth="1"/>
    <col min="6" max="6" width="13.85546875" bestFit="1" customWidth="1"/>
    <col min="10" max="10" width="11" bestFit="1" customWidth="1"/>
    <col min="12" max="12" width="12.7109375" customWidth="1"/>
    <col min="13" max="14" width="12" bestFit="1" customWidth="1"/>
    <col min="20" max="21" width="12.85546875" customWidth="1"/>
    <col min="22" max="22" width="9" customWidth="1"/>
  </cols>
  <sheetData>
    <row r="1" spans="1:22" x14ac:dyDescent="0.25">
      <c r="A1" s="421" t="s">
        <v>21</v>
      </c>
      <c r="B1" s="422"/>
      <c r="C1" s="422"/>
      <c r="D1" s="422"/>
      <c r="E1" s="422"/>
      <c r="F1" s="422"/>
      <c r="G1" s="422"/>
      <c r="H1" s="422"/>
      <c r="I1" s="422"/>
      <c r="J1" s="422"/>
      <c r="K1" s="422"/>
      <c r="L1" s="423"/>
      <c r="M1" s="423"/>
      <c r="N1" s="25"/>
    </row>
    <row r="2" spans="1:22" ht="18" x14ac:dyDescent="0.35">
      <c r="A2" s="29" t="s">
        <v>23</v>
      </c>
      <c r="B2" s="29" t="s">
        <v>29</v>
      </c>
      <c r="C2" s="29" t="s">
        <v>11</v>
      </c>
      <c r="D2" s="42" t="s">
        <v>8</v>
      </c>
      <c r="E2" s="46" t="s">
        <v>15</v>
      </c>
      <c r="F2" s="46" t="s">
        <v>16</v>
      </c>
      <c r="G2" s="29" t="s">
        <v>24</v>
      </c>
      <c r="H2" s="29" t="s">
        <v>25</v>
      </c>
      <c r="I2" s="29" t="s">
        <v>22</v>
      </c>
      <c r="J2" s="29" t="s">
        <v>11</v>
      </c>
      <c r="K2" s="42" t="s">
        <v>8</v>
      </c>
      <c r="L2" s="42" t="s">
        <v>13</v>
      </c>
      <c r="M2" s="43" t="s">
        <v>13</v>
      </c>
      <c r="N2" s="26"/>
    </row>
    <row r="3" spans="1:22" ht="17.25" x14ac:dyDescent="0.25">
      <c r="A3" s="44" t="s">
        <v>2</v>
      </c>
      <c r="B3" s="44" t="s">
        <v>2</v>
      </c>
      <c r="C3" s="44" t="s">
        <v>27</v>
      </c>
      <c r="D3" s="44" t="s">
        <v>26</v>
      </c>
      <c r="E3" s="47" t="s">
        <v>2</v>
      </c>
      <c r="F3" s="47" t="s">
        <v>26</v>
      </c>
      <c r="G3" s="44" t="s">
        <v>9</v>
      </c>
      <c r="H3" s="44" t="s">
        <v>28</v>
      </c>
      <c r="I3" s="44" t="s">
        <v>2</v>
      </c>
      <c r="J3" s="44" t="s">
        <v>27</v>
      </c>
      <c r="K3" s="44" t="s">
        <v>26</v>
      </c>
      <c r="L3" s="30" t="s">
        <v>14</v>
      </c>
      <c r="M3" s="34" t="s">
        <v>19</v>
      </c>
      <c r="N3" s="26"/>
      <c r="O3" s="4"/>
    </row>
    <row r="4" spans="1:22" x14ac:dyDescent="0.25">
      <c r="A4" s="32">
        <f>3.3/2</f>
        <v>1.65</v>
      </c>
      <c r="B4" s="32">
        <f>A4-0.13</f>
        <v>1.52</v>
      </c>
      <c r="C4" s="55">
        <v>1131</v>
      </c>
      <c r="D4" s="54">
        <v>0</v>
      </c>
      <c r="E4" s="2">
        <v>20</v>
      </c>
      <c r="F4" s="45">
        <v>6000000</v>
      </c>
      <c r="G4" s="49">
        <f>IF(B4=0,1/2*PI()*A4^4,1/2*PI()*(A4^4-B4^4))</f>
        <v>3.2579228293312368</v>
      </c>
      <c r="H4" s="31">
        <f>IF(B4=0,PI()*A4^2,PI()*(A4^2-B4^2))</f>
        <v>1.2946503325443528</v>
      </c>
      <c r="I4" s="31">
        <f>IF(B4=0, A4,SQRT(H4/PI()))</f>
        <v>0.64195015382816112</v>
      </c>
      <c r="J4" s="33">
        <f>D4*G4/A4</f>
        <v>0</v>
      </c>
      <c r="K4" s="33">
        <f>C4*A4/G4</f>
        <v>572.80362297073498</v>
      </c>
      <c r="L4" s="30">
        <f>C4*E4/(F4*G4)</f>
        <v>1.1571790363045153E-3</v>
      </c>
      <c r="M4" s="34">
        <f>L4*180/PI()</f>
        <v>6.6301474921264592E-2</v>
      </c>
      <c r="N4" s="26"/>
      <c r="O4" s="4"/>
    </row>
    <row r="5" spans="1:22" ht="15.75" thickBot="1" x14ac:dyDescent="0.3">
      <c r="A5" s="41"/>
      <c r="B5" s="39"/>
      <c r="C5" s="36"/>
      <c r="D5" s="48"/>
      <c r="E5" s="3"/>
      <c r="F5" s="3"/>
      <c r="G5" s="50"/>
      <c r="H5" s="37"/>
      <c r="I5" s="36"/>
      <c r="J5" s="36"/>
      <c r="K5" s="36"/>
      <c r="L5" s="36"/>
      <c r="M5" s="35"/>
      <c r="N5" s="26"/>
    </row>
    <row r="6" spans="1:22" ht="15.75" thickTop="1" x14ac:dyDescent="0.25">
      <c r="A6" s="24"/>
      <c r="B6" s="40"/>
      <c r="C6" s="26"/>
      <c r="D6" s="38"/>
      <c r="E6" s="52"/>
      <c r="F6" s="51"/>
      <c r="G6" s="53"/>
      <c r="H6" s="53"/>
      <c r="I6" s="26"/>
      <c r="J6" s="26"/>
      <c r="K6" s="26"/>
      <c r="L6" s="26"/>
      <c r="M6" s="27"/>
      <c r="N6" s="26"/>
      <c r="O6" s="4"/>
    </row>
    <row r="7" spans="1:22" x14ac:dyDescent="0.25">
      <c r="A7" s="26"/>
      <c r="B7" s="26"/>
      <c r="C7" s="26"/>
      <c r="D7" s="26"/>
      <c r="E7" s="26"/>
      <c r="F7" s="26"/>
      <c r="G7" s="26"/>
      <c r="H7" s="26"/>
      <c r="I7" s="25"/>
      <c r="J7" s="24"/>
      <c r="K7" s="24"/>
      <c r="L7" s="24"/>
      <c r="M7" s="27"/>
      <c r="N7" s="26"/>
    </row>
    <row r="8" spans="1:22" ht="15.75" thickBot="1" x14ac:dyDescent="0.3">
      <c r="A8" s="435" t="s">
        <v>20</v>
      </c>
      <c r="B8" s="436"/>
      <c r="C8" s="436"/>
      <c r="D8" s="436"/>
      <c r="E8" s="436"/>
      <c r="F8" s="436"/>
      <c r="G8" s="436"/>
      <c r="H8" s="436"/>
      <c r="I8" s="436"/>
      <c r="J8" s="436"/>
      <c r="K8" s="75"/>
      <c r="L8" s="28"/>
    </row>
    <row r="9" spans="1:22" ht="18" x14ac:dyDescent="0.35">
      <c r="A9" s="9" t="s">
        <v>0</v>
      </c>
      <c r="B9" s="10" t="s">
        <v>1</v>
      </c>
      <c r="C9" s="76" t="s">
        <v>3</v>
      </c>
      <c r="D9" s="78" t="s">
        <v>4</v>
      </c>
      <c r="E9" s="78" t="s">
        <v>5</v>
      </c>
      <c r="F9" s="10" t="s">
        <v>6</v>
      </c>
      <c r="G9" s="10" t="s">
        <v>7</v>
      </c>
      <c r="H9" s="11" t="s">
        <v>8</v>
      </c>
      <c r="I9" s="12" t="s">
        <v>13</v>
      </c>
      <c r="J9" s="13" t="s">
        <v>13</v>
      </c>
    </row>
    <row r="10" spans="1:22" ht="18" thickBot="1" x14ac:dyDescent="0.3">
      <c r="A10" s="14" t="s">
        <v>2</v>
      </c>
      <c r="B10" s="2" t="s">
        <v>2</v>
      </c>
      <c r="C10" s="77"/>
      <c r="D10" s="79"/>
      <c r="E10" s="79"/>
      <c r="F10" s="2" t="s">
        <v>9</v>
      </c>
      <c r="G10" s="2" t="s">
        <v>9</v>
      </c>
      <c r="H10" s="2" t="s">
        <v>10</v>
      </c>
      <c r="I10" s="15" t="s">
        <v>14</v>
      </c>
      <c r="J10" s="16" t="s">
        <v>19</v>
      </c>
      <c r="U10" s="154"/>
    </row>
    <row r="11" spans="1:22" ht="16.5" thickTop="1" thickBot="1" x14ac:dyDescent="0.3">
      <c r="A11" s="17">
        <v>6</v>
      </c>
      <c r="B11" s="7">
        <v>7</v>
      </c>
      <c r="C11" s="2">
        <f>IFERROR(A11/B11,0)</f>
        <v>0.8571428571428571</v>
      </c>
      <c r="D11" s="5" t="b">
        <f>IF(C11=1,0.208,IF(C11=1.2,0.219,IF(C11=1.5,0.231,IF(C11=1.75,0.239,IF(C11=2,0.246,IF(C11=2.5,0.258,IF(C11=3,0.267,IF(C11=4,0.282,IF(C11=5,0.291,IF(C11&gt;5,((1/3)*(1-((0.63)/C11)))))))))))))</f>
        <v>0</v>
      </c>
      <c r="E11" s="5" t="b">
        <f>IF(C11=1,0.1406,IF(C11=1.2, 0.1661,IF(C11=1.5,0.1958,IF(C11=1.75,0.214,IF(C11=2,0.229,IF(C11=2.5,0.249,IF(C11=3,0.263,IF(C11=4,0.281,IF(C11=5,0.291,IF(C11&gt;5, ((1/3)*(1-((0.63)/C11)))))))))))))</f>
        <v>0</v>
      </c>
      <c r="F11" s="5">
        <f>D11*A11*(B11)^3</f>
        <v>0</v>
      </c>
      <c r="G11" s="5">
        <f>E11*A11*(B11)^3</f>
        <v>0</v>
      </c>
      <c r="H11" s="6">
        <f>IFERROR((A18*B11)/F16,0)</f>
        <v>0</v>
      </c>
      <c r="I11" s="80">
        <f>IFERROR((A18*B18)/(C18*G16),0)</f>
        <v>0</v>
      </c>
      <c r="J11" s="83">
        <f>DEGREES(I11)</f>
        <v>0</v>
      </c>
      <c r="K11" s="111"/>
      <c r="L11" s="414" t="s">
        <v>32</v>
      </c>
      <c r="M11" s="415"/>
      <c r="N11" s="415"/>
      <c r="O11" s="415"/>
      <c r="P11" s="415"/>
      <c r="Q11" s="415"/>
      <c r="R11" s="416"/>
      <c r="S11" s="195"/>
      <c r="T11" s="419" t="s">
        <v>95</v>
      </c>
      <c r="U11" s="420"/>
      <c r="V11" s="4"/>
    </row>
    <row r="12" spans="1:22" ht="19.5" thickTop="1" thickBot="1" x14ac:dyDescent="0.4">
      <c r="A12" s="17">
        <v>0</v>
      </c>
      <c r="B12" s="8">
        <v>0</v>
      </c>
      <c r="C12" s="2">
        <f>IFERROR(A12/B12,0)</f>
        <v>0</v>
      </c>
      <c r="D12" s="2" t="b">
        <f>IF(C12=1,0.208,IF(C12=1.2,0.219,IF(C12=1.5,0.231,IF(C12=1.75,0.239,IF(C12=2,0.246,IF(C12=2.5,0.258,IF(C12=3,0.267,IF(C12=4,0.282,IF(C12=5,0.291,IF(C12&gt;5,((1/3)*(1-((0.63)/C12)))))))))))))</f>
        <v>0</v>
      </c>
      <c r="E12" s="2" t="b">
        <f>IF(C12=1,0.1406,IF(C12=1.2, 0.1661,IF(C12=1.5,0.1958,IF(C12=1.75,0.214,IF(C12=2,0.229,IF(C12=2.5,0.249,IF(C12=3,0.263,IF(C12=4,0.281,IF(C12=5,0.291,IF(C12&gt;5, ((1/3)*(1-((0.63)/C12)))))))))))))</f>
        <v>0</v>
      </c>
      <c r="F12" s="2">
        <f>D12*A12*(B12)^3</f>
        <v>0</v>
      </c>
      <c r="G12" s="2">
        <f>E12*A12*(B12)^3</f>
        <v>0</v>
      </c>
      <c r="H12" s="18">
        <f>IFERROR((A18*B12)/F16,0)</f>
        <v>0</v>
      </c>
      <c r="I12" s="81"/>
      <c r="J12" s="84"/>
      <c r="K12" s="111"/>
      <c r="L12" s="116" t="s">
        <v>45</v>
      </c>
      <c r="M12" s="117" t="s">
        <v>43</v>
      </c>
      <c r="N12" s="117" t="s">
        <v>42</v>
      </c>
      <c r="O12" s="118" t="s">
        <v>49</v>
      </c>
      <c r="P12" s="108" t="s">
        <v>44</v>
      </c>
      <c r="Q12" s="119" t="s">
        <v>13</v>
      </c>
      <c r="R12" s="120" t="s">
        <v>13</v>
      </c>
      <c r="S12" s="4"/>
      <c r="T12" s="190" t="s">
        <v>96</v>
      </c>
      <c r="U12" s="191" t="s">
        <v>97</v>
      </c>
    </row>
    <row r="13" spans="1:22" ht="18.75" thickTop="1" thickBot="1" x14ac:dyDescent="0.3">
      <c r="A13" s="17">
        <v>0</v>
      </c>
      <c r="B13" s="8">
        <v>0</v>
      </c>
      <c r="C13" s="2">
        <f>IFERROR(A13/B13,0)</f>
        <v>0</v>
      </c>
      <c r="D13" s="2" t="b">
        <f>IF(C13=1,0.208,IF(C13=1.2,0.219,IF(C13=1.5,0.231,IF(C13=1.75,0.239,IF(C13=2,0.246,IF(C13=2.5,0.258,IF(C13=3,0.267,IF(C13=4,0.282,IF(C13=5,0.291,IF(C13&gt;5,((1/3)*(1-((0.63)/C13)))))))))))))</f>
        <v>0</v>
      </c>
      <c r="E13" s="2" t="b">
        <f>IF(C13=1,0.1406,IF(C13=1.2, 0.1661,IF(C13=1.5,0.1958,IF(C13=1.75,0.214,IF(C13=2,0.229,IF(C13=2.5,0.249,IF(C13=3,0.263,IF(C13=4,0.281,IF(C13=5,0.291,IF(C13&gt;5, ((1/3)*(1-((0.63)/C13)))))))))))))</f>
        <v>0</v>
      </c>
      <c r="F13" s="2">
        <f>D13*A13*(B13)^3</f>
        <v>0</v>
      </c>
      <c r="G13" s="2">
        <f>E13*A13*(B13)^3</f>
        <v>0</v>
      </c>
      <c r="H13" s="18">
        <f>IFERROR((A18*B13)/F16,0)</f>
        <v>0</v>
      </c>
      <c r="I13" s="81"/>
      <c r="J13" s="84"/>
      <c r="K13" s="111"/>
      <c r="L13" s="122" t="s">
        <v>2</v>
      </c>
      <c r="M13" s="123" t="s">
        <v>28</v>
      </c>
      <c r="N13" s="123" t="s">
        <v>47</v>
      </c>
      <c r="O13" s="122" t="s">
        <v>50</v>
      </c>
      <c r="P13" s="122"/>
      <c r="Q13" s="122" t="s">
        <v>14</v>
      </c>
      <c r="R13" s="124" t="s">
        <v>19</v>
      </c>
      <c r="S13" s="4"/>
      <c r="T13" s="192">
        <f>B29</f>
        <v>15</v>
      </c>
      <c r="U13" s="57">
        <f>E29</f>
        <v>1.0000000000000001E-9</v>
      </c>
      <c r="V13" s="194">
        <f>IFERROR(T13/U13,0)</f>
        <v>15000000000</v>
      </c>
    </row>
    <row r="14" spans="1:22" ht="15.75" thickTop="1" x14ac:dyDescent="0.25">
      <c r="A14" s="17">
        <v>0</v>
      </c>
      <c r="B14" s="8">
        <v>0</v>
      </c>
      <c r="C14" s="3">
        <f>IFERROR(A14/B14,0)</f>
        <v>0</v>
      </c>
      <c r="D14" s="3" t="b">
        <f>IF(C14=1,0.208,IF(C14=1.2,0.219,IF(C14=1.5,0.231,IF(C14=1.75,0.239,IF(C14=2,0.246,IF(C14=2.5,0.258,IF(C14=3,0.267,IF(C14=4,0.282,IF(C14=5,0.291,IF(C14&gt;5,((1/3)*(1-((0.63)/C14)))))))))))))</f>
        <v>0</v>
      </c>
      <c r="E14" s="3" t="b">
        <f>IF(C14=1,0.1406,IF(C14=1.2, 0.1661,IF(C14=1.5,0.1958,IF(C14=1.75,0.214,IF(C14=2,0.229,IF(C14=2.5,0.249,IF(C14=3,0.263,IF(C14=4,0.281,IF(C14=5,0.291,IF(C14&gt;5, ((1/3)*(1-((0.63)/C14)))))))))))))</f>
        <v>0</v>
      </c>
      <c r="F14" s="3">
        <f>D14*A14*(B14)^3</f>
        <v>0</v>
      </c>
      <c r="G14" s="3">
        <f>E14*A14*(B14)^3</f>
        <v>0</v>
      </c>
      <c r="H14" s="15">
        <f>IFERROR((A18*B14)/F16,0)</f>
        <v>0</v>
      </c>
      <c r="I14" s="81"/>
      <c r="J14" s="84"/>
      <c r="K14" s="111"/>
      <c r="L14" s="86">
        <f>SUM(T13:T33)+SUM(T35:T39)</f>
        <v>51.213203435596427</v>
      </c>
      <c r="M14" s="121" cm="1">
        <f t="array" ref="M14">SUM(K23:K27+K29:K33+K35:K39)</f>
        <v>112.5</v>
      </c>
      <c r="N14" s="104">
        <f>IFERROR(L18/(2*M14),0)</f>
        <v>177.77777777777777</v>
      </c>
      <c r="O14" s="86">
        <f>SUM(V13:V33)+SUM(V35:V39)</f>
        <v>15000000449.987976</v>
      </c>
      <c r="P14" s="104" t="e">
        <f>(L18/(2*M14*D23))</f>
        <v>#DIV/0!</v>
      </c>
      <c r="Q14" s="86">
        <f>((M18*N14)/(2*M14*N18))*O14</f>
        <v>93567.254268930832</v>
      </c>
      <c r="R14" s="193">
        <f>Q14*180/PI()</f>
        <v>5361008.770237172</v>
      </c>
      <c r="S14" s="4"/>
      <c r="T14" s="192">
        <f>C29</f>
        <v>15</v>
      </c>
      <c r="U14" s="57">
        <f>F29</f>
        <v>7.0000000000000007E-2</v>
      </c>
      <c r="V14" s="194">
        <f t="shared" ref="V14:V39" si="0">IFERROR(T14/U14,0)</f>
        <v>214.28571428571428</v>
      </c>
    </row>
    <row r="15" spans="1:22" ht="15.75" thickBot="1" x14ac:dyDescent="0.3">
      <c r="A15" s="17">
        <v>0</v>
      </c>
      <c r="B15" s="8">
        <v>0</v>
      </c>
      <c r="C15" s="2">
        <f>IFERROR(A15/B15,0)</f>
        <v>0</v>
      </c>
      <c r="D15" s="3" t="b">
        <f>IF(C15=1,0.208,IF(C15=1.2,0.219,IF(C15=1.5,0.231,IF(C15=1.75,0.239,IF(C15=2,0.246,IF(C15=2.5,0.258,IF(C15=3,0.267,IF(C15=4,0.282,IF(C15=5,0.291,IF(C15&gt;5,((1/3)*(1-((0.63)/C15)))))))))))))</f>
        <v>0</v>
      </c>
      <c r="E15" s="58" t="b">
        <f>IF(C15=1,0.1406,IF(C15=1.2, 0.1661,IF(C15=1.5,0.1958,IF(C15=1.75,0.214,IF(C15=2,0.229,IF(C15=2.5,0.249,IF(C15=3,0.263,IF(C15=4,0.281,IF(C15=5,0.291,IF(C15&gt;5, ((1/3)*(1-((0.63)/C15)))))))))))))</f>
        <v>0</v>
      </c>
      <c r="F15" s="3">
        <f>D15*A15*(B15)^3</f>
        <v>0</v>
      </c>
      <c r="G15" s="3">
        <f>E15*A15*(B15)^3</f>
        <v>0</v>
      </c>
      <c r="H15" s="15">
        <f>IFERROR((A18*B15)/F16,0)</f>
        <v>0</v>
      </c>
      <c r="I15" s="82"/>
      <c r="J15" s="85"/>
      <c r="K15" s="111"/>
      <c r="L15" s="113"/>
      <c r="M15" s="113"/>
      <c r="N15" s="113"/>
      <c r="O15" s="113"/>
      <c r="P15" s="113"/>
      <c r="Q15" s="113"/>
      <c r="R15" s="125"/>
      <c r="S15" s="4"/>
      <c r="T15" s="192">
        <f>D29</f>
        <v>21.213203435596427</v>
      </c>
      <c r="U15" s="57">
        <f>G29</f>
        <v>0.09</v>
      </c>
      <c r="V15" s="194">
        <f t="shared" si="0"/>
        <v>235.70226039551585</v>
      </c>
    </row>
    <row r="16" spans="1:22" ht="16.5" thickTop="1" thickBot="1" x14ac:dyDescent="0.3">
      <c r="A16" s="19" t="s">
        <v>11</v>
      </c>
      <c r="B16" s="1" t="s">
        <v>15</v>
      </c>
      <c r="C16" s="59" t="s">
        <v>16</v>
      </c>
      <c r="D16" s="424"/>
      <c r="E16" s="424"/>
      <c r="F16" s="20">
        <f>IFERROR(SUM(F11:F15),0)</f>
        <v>0</v>
      </c>
      <c r="G16" s="21">
        <f>SUM(G11:G15)</f>
        <v>0</v>
      </c>
      <c r="H16" s="22">
        <f>MAX(H11:H15)</f>
        <v>0</v>
      </c>
      <c r="I16" s="424"/>
      <c r="J16" s="427"/>
      <c r="K16" s="111"/>
      <c r="L16" s="65" t="s">
        <v>11</v>
      </c>
      <c r="M16" s="1" t="s">
        <v>15</v>
      </c>
      <c r="N16" s="1" t="s">
        <v>16</v>
      </c>
      <c r="O16" s="112"/>
      <c r="P16" s="126"/>
      <c r="Q16" s="126"/>
      <c r="R16" s="127"/>
      <c r="T16" s="192"/>
      <c r="U16" s="57"/>
      <c r="V16" s="194">
        <f t="shared" si="0"/>
        <v>0</v>
      </c>
    </row>
    <row r="17" spans="1:22" ht="15.75" thickTop="1" x14ac:dyDescent="0.25">
      <c r="A17" s="14" t="s">
        <v>12</v>
      </c>
      <c r="B17" s="2" t="s">
        <v>2</v>
      </c>
      <c r="C17" s="57" t="s">
        <v>10</v>
      </c>
      <c r="D17" s="425"/>
      <c r="E17" s="425"/>
      <c r="F17" s="431" t="s">
        <v>18</v>
      </c>
      <c r="G17" s="431"/>
      <c r="H17" s="433" t="s">
        <v>17</v>
      </c>
      <c r="I17" s="428"/>
      <c r="J17" s="429"/>
      <c r="K17" s="111"/>
      <c r="L17" s="56" t="s">
        <v>12</v>
      </c>
      <c r="M17" s="2" t="s">
        <v>2</v>
      </c>
      <c r="N17" s="2" t="s">
        <v>10</v>
      </c>
      <c r="O17" s="112"/>
      <c r="P17" s="126"/>
      <c r="Q17" s="126"/>
      <c r="R17" s="127"/>
      <c r="T17" s="192"/>
      <c r="U17" s="57"/>
      <c r="V17" s="194">
        <f t="shared" si="0"/>
        <v>0</v>
      </c>
    </row>
    <row r="18" spans="1:22" ht="15.75" thickBot="1" x14ac:dyDescent="0.3">
      <c r="A18" s="131">
        <v>10000</v>
      </c>
      <c r="B18" s="23">
        <v>100</v>
      </c>
      <c r="C18" s="60">
        <v>3800000</v>
      </c>
      <c r="D18" s="426"/>
      <c r="E18" s="426"/>
      <c r="F18" s="432"/>
      <c r="G18" s="432"/>
      <c r="H18" s="434"/>
      <c r="I18" s="426"/>
      <c r="J18" s="430"/>
      <c r="K18" s="111"/>
      <c r="L18" s="115">
        <v>40000</v>
      </c>
      <c r="M18" s="61">
        <v>30</v>
      </c>
      <c r="N18" s="62">
        <v>3800000</v>
      </c>
      <c r="O18" s="128"/>
      <c r="P18" s="129"/>
      <c r="Q18" s="129"/>
      <c r="R18" s="130"/>
      <c r="T18" s="192"/>
      <c r="U18" s="57"/>
      <c r="V18" s="194">
        <f t="shared" si="0"/>
        <v>0</v>
      </c>
    </row>
    <row r="19" spans="1:22" ht="15.75" thickTop="1" x14ac:dyDescent="0.25">
      <c r="L19" s="114"/>
      <c r="O19" s="114"/>
      <c r="T19" s="192"/>
      <c r="U19" s="57"/>
      <c r="V19" s="194">
        <f t="shared" si="0"/>
        <v>0</v>
      </c>
    </row>
    <row r="20" spans="1:22" x14ac:dyDescent="0.25">
      <c r="T20" s="192"/>
      <c r="U20" s="57"/>
      <c r="V20" s="194">
        <f t="shared" si="0"/>
        <v>0</v>
      </c>
    </row>
    <row r="21" spans="1:22" ht="15.75" thickBot="1" x14ac:dyDescent="0.3">
      <c r="A21" s="437" t="s">
        <v>33</v>
      </c>
      <c r="B21" s="438"/>
      <c r="C21" s="438"/>
      <c r="D21" s="438"/>
      <c r="E21" s="438"/>
      <c r="F21" s="438"/>
      <c r="G21" s="438"/>
      <c r="H21" s="438"/>
      <c r="I21" s="438"/>
      <c r="J21" s="438"/>
      <c r="K21" s="438"/>
      <c r="L21" s="438"/>
      <c r="M21" s="438"/>
      <c r="N21" s="438"/>
      <c r="O21" s="438"/>
      <c r="P21" s="438"/>
      <c r="Q21" s="110"/>
      <c r="S21" s="4"/>
      <c r="T21" s="192"/>
      <c r="U21" s="57"/>
      <c r="V21" s="194">
        <f t="shared" si="0"/>
        <v>0</v>
      </c>
    </row>
    <row r="22" spans="1:22" ht="19.5" thickTop="1" thickBot="1" x14ac:dyDescent="0.4">
      <c r="A22" s="93" t="s">
        <v>34</v>
      </c>
      <c r="B22" s="106" t="s">
        <v>31</v>
      </c>
      <c r="C22" s="95" t="s">
        <v>0</v>
      </c>
      <c r="D22" s="96" t="s">
        <v>40</v>
      </c>
      <c r="E22" s="97" t="s">
        <v>41</v>
      </c>
      <c r="F22" s="401"/>
      <c r="G22" s="402"/>
      <c r="H22" s="398" t="s">
        <v>46</v>
      </c>
      <c r="I22" s="399"/>
      <c r="J22" s="400"/>
      <c r="K22" s="94" t="s">
        <v>25</v>
      </c>
      <c r="L22" s="95" t="s">
        <v>30</v>
      </c>
      <c r="M22" s="108" t="s">
        <v>51</v>
      </c>
      <c r="N22" s="108" t="s">
        <v>52</v>
      </c>
      <c r="O22" s="407"/>
      <c r="P22" s="109" t="s">
        <v>11</v>
      </c>
      <c r="T22" s="192"/>
      <c r="U22" s="57"/>
      <c r="V22" s="194">
        <f t="shared" si="0"/>
        <v>0</v>
      </c>
    </row>
    <row r="23" spans="1:22" ht="15.75" thickTop="1" x14ac:dyDescent="0.25">
      <c r="A23" s="440"/>
      <c r="B23" s="90"/>
      <c r="C23" s="90"/>
      <c r="D23" s="90"/>
      <c r="E23" s="90"/>
      <c r="F23" s="403"/>
      <c r="G23" s="404"/>
      <c r="H23" s="7"/>
      <c r="I23" s="7"/>
      <c r="J23" s="411"/>
      <c r="K23" s="103">
        <f>B23*C23</f>
        <v>0</v>
      </c>
      <c r="L23" s="104">
        <f>IFERROR(L18/(2*K23),0)</f>
        <v>0</v>
      </c>
      <c r="M23" s="104">
        <f>IFERROR(L18/(2*K23*D23),0)</f>
        <v>0</v>
      </c>
      <c r="N23" s="104">
        <f>IFERROR(L18/(2*K23*E23),0)</f>
        <v>0</v>
      </c>
      <c r="O23" s="396"/>
      <c r="P23" s="105"/>
      <c r="Q23" s="4"/>
      <c r="R23" s="4"/>
      <c r="S23" s="4"/>
      <c r="T23" s="192"/>
      <c r="U23" s="57"/>
      <c r="V23" s="194">
        <f t="shared" si="0"/>
        <v>0</v>
      </c>
    </row>
    <row r="24" spans="1:22" x14ac:dyDescent="0.25">
      <c r="A24" s="409"/>
      <c r="B24" s="66"/>
      <c r="C24" s="66"/>
      <c r="D24" s="90"/>
      <c r="E24" s="90"/>
      <c r="F24" s="403"/>
      <c r="G24" s="404"/>
      <c r="H24" s="8"/>
      <c r="I24" s="8"/>
      <c r="J24" s="412"/>
      <c r="K24" s="87">
        <f>B24*C24</f>
        <v>0</v>
      </c>
      <c r="L24" s="68">
        <f>IFERROR(L18/(2*K24),0)</f>
        <v>0</v>
      </c>
      <c r="M24" s="68">
        <f>IFERROR(#REF!/(2*K24*D24),0)</f>
        <v>0</v>
      </c>
      <c r="N24" s="68">
        <f t="shared" ref="N24:N27" si="1">IFERROR(L19/(2*K24*E24),0)</f>
        <v>0</v>
      </c>
      <c r="O24" s="396"/>
      <c r="P24" s="69"/>
      <c r="T24" s="192"/>
      <c r="U24" s="57"/>
      <c r="V24" s="194">
        <f t="shared" si="0"/>
        <v>0</v>
      </c>
    </row>
    <row r="25" spans="1:22" x14ac:dyDescent="0.25">
      <c r="A25" s="409"/>
      <c r="B25" s="66"/>
      <c r="C25" s="66"/>
      <c r="D25" s="90"/>
      <c r="E25" s="90"/>
      <c r="F25" s="403"/>
      <c r="G25" s="404"/>
      <c r="H25" s="8"/>
      <c r="I25" s="8"/>
      <c r="J25" s="412"/>
      <c r="K25" s="87">
        <f>B25*C25</f>
        <v>0</v>
      </c>
      <c r="L25" s="68">
        <f>IFERROR(L18/(2*K25),0)</f>
        <v>0</v>
      </c>
      <c r="M25" s="68">
        <f>IFERROR(#REF!/(2*K25*D25),0)</f>
        <v>0</v>
      </c>
      <c r="N25" s="68">
        <f t="shared" si="1"/>
        <v>0</v>
      </c>
      <c r="O25" s="396"/>
      <c r="P25" s="69"/>
      <c r="T25" s="192"/>
      <c r="U25" s="57"/>
      <c r="V25" s="194">
        <f t="shared" si="0"/>
        <v>0</v>
      </c>
    </row>
    <row r="26" spans="1:22" x14ac:dyDescent="0.25">
      <c r="A26" s="409"/>
      <c r="B26" s="66"/>
      <c r="C26" s="66"/>
      <c r="D26" s="90"/>
      <c r="E26" s="90"/>
      <c r="F26" s="403"/>
      <c r="G26" s="404"/>
      <c r="H26" s="8"/>
      <c r="I26" s="8"/>
      <c r="J26" s="412"/>
      <c r="K26" s="87">
        <f>B26*C26</f>
        <v>0</v>
      </c>
      <c r="L26" s="68">
        <f>IFERROR(L18/(2*K26),0)</f>
        <v>0</v>
      </c>
      <c r="M26" s="68">
        <f>IFERROR(#REF!/(2*K26*D26),0)</f>
        <v>0</v>
      </c>
      <c r="N26" s="68">
        <f t="shared" si="1"/>
        <v>0</v>
      </c>
      <c r="O26" s="396"/>
      <c r="P26" s="69"/>
      <c r="T26" s="192"/>
      <c r="U26" s="57"/>
      <c r="V26" s="194">
        <f t="shared" si="0"/>
        <v>0</v>
      </c>
    </row>
    <row r="27" spans="1:22" ht="15.75" thickBot="1" x14ac:dyDescent="0.3">
      <c r="A27" s="410"/>
      <c r="B27" s="73"/>
      <c r="C27" s="73"/>
      <c r="D27" s="73"/>
      <c r="E27" s="73"/>
      <c r="F27" s="405"/>
      <c r="G27" s="406"/>
      <c r="H27" s="64">
        <v>0</v>
      </c>
      <c r="I27" s="64">
        <v>0</v>
      </c>
      <c r="J27" s="413"/>
      <c r="K27" s="101">
        <f>B27*C27</f>
        <v>0</v>
      </c>
      <c r="L27" s="72">
        <f>IFERROR(L18/(2*K27),0)</f>
        <v>0</v>
      </c>
      <c r="M27" s="72">
        <f>IFERROR(#REF!/(2*K27*D27),0)</f>
        <v>0</v>
      </c>
      <c r="N27" s="72">
        <f t="shared" si="1"/>
        <v>0</v>
      </c>
      <c r="O27" s="397"/>
      <c r="P27" s="102"/>
      <c r="T27" s="192"/>
      <c r="U27" s="57"/>
      <c r="V27" s="194">
        <f t="shared" si="0"/>
        <v>0</v>
      </c>
    </row>
    <row r="28" spans="1:22" ht="19.5" thickTop="1" thickBot="1" x14ac:dyDescent="0.4">
      <c r="A28" s="93" t="s">
        <v>35</v>
      </c>
      <c r="B28" s="94" t="s">
        <v>0</v>
      </c>
      <c r="C28" s="95" t="s">
        <v>53</v>
      </c>
      <c r="D28" s="95" t="s">
        <v>37</v>
      </c>
      <c r="E28" s="97" t="s">
        <v>41</v>
      </c>
      <c r="F28" s="97" t="s">
        <v>54</v>
      </c>
      <c r="G28" s="95" t="s">
        <v>48</v>
      </c>
      <c r="H28" s="398" t="s">
        <v>46</v>
      </c>
      <c r="I28" s="399"/>
      <c r="J28" s="400"/>
      <c r="K28" s="94" t="s">
        <v>25</v>
      </c>
      <c r="L28" s="107" t="s">
        <v>30</v>
      </c>
      <c r="M28" s="108" t="s">
        <v>52</v>
      </c>
      <c r="N28" s="108" t="s">
        <v>89</v>
      </c>
      <c r="O28" s="108" t="s">
        <v>90</v>
      </c>
      <c r="P28" s="109" t="s">
        <v>11</v>
      </c>
      <c r="T28" s="192"/>
      <c r="U28" s="57"/>
      <c r="V28" s="194">
        <f t="shared" si="0"/>
        <v>0</v>
      </c>
    </row>
    <row r="29" spans="1:22" ht="15.75" thickTop="1" x14ac:dyDescent="0.25">
      <c r="A29" s="440"/>
      <c r="B29" s="90">
        <v>15</v>
      </c>
      <c r="C29" s="7">
        <v>15</v>
      </c>
      <c r="D29" s="63">
        <f>SQRT(B29^2+C29^2)</f>
        <v>21.213203435596427</v>
      </c>
      <c r="E29" s="91">
        <v>1.0000000000000001E-9</v>
      </c>
      <c r="F29" s="91">
        <v>7.0000000000000007E-2</v>
      </c>
      <c r="G29" s="7">
        <v>0.09</v>
      </c>
      <c r="H29" s="7"/>
      <c r="I29" s="7"/>
      <c r="J29" s="92"/>
      <c r="K29" s="103">
        <f>B29*C29/2</f>
        <v>112.5</v>
      </c>
      <c r="L29" s="104">
        <f>IFERROR(L18/(2*K29),0)</f>
        <v>177.77777777777777</v>
      </c>
      <c r="M29" s="104">
        <f>IFERROR(L18/(2*K29*E29),0)</f>
        <v>177777777777.77777</v>
      </c>
      <c r="N29" s="104">
        <f>IFERROR(L18/(2*K29*F29),0)</f>
        <v>2539.6825396825393</v>
      </c>
      <c r="O29" s="104">
        <f>IFERROR(L18/(2*K29*G29),0)</f>
        <v>1975.3086419753085</v>
      </c>
      <c r="P29" s="105"/>
      <c r="T29" s="192"/>
      <c r="U29" s="57"/>
      <c r="V29" s="194">
        <f t="shared" si="0"/>
        <v>0</v>
      </c>
    </row>
    <row r="30" spans="1:22" x14ac:dyDescent="0.25">
      <c r="A30" s="409"/>
      <c r="B30" s="66"/>
      <c r="C30" s="8"/>
      <c r="D30" s="63"/>
      <c r="E30" s="67"/>
      <c r="F30" s="67"/>
      <c r="G30" s="8"/>
      <c r="H30" s="8"/>
      <c r="I30" s="8"/>
      <c r="J30" s="89"/>
      <c r="K30" s="87">
        <f>B30*C30/2</f>
        <v>0</v>
      </c>
      <c r="L30" s="68">
        <f>IFERROR(L18/(2*K30),0)</f>
        <v>0</v>
      </c>
      <c r="M30" s="68">
        <f>IFERROR(L18/(2*K30*E30),0)</f>
        <v>0</v>
      </c>
      <c r="N30" s="68">
        <f t="shared" ref="N30:N33" si="2">IFERROR(L19/(2*K30*F30),0)</f>
        <v>0</v>
      </c>
      <c r="O30" s="68">
        <f t="shared" ref="O30:O33" si="3">IFERROR(L19/(2*K30*G30),0)</f>
        <v>0</v>
      </c>
      <c r="P30" s="69"/>
      <c r="T30" s="192"/>
      <c r="U30" s="57"/>
      <c r="V30" s="194">
        <f t="shared" si="0"/>
        <v>0</v>
      </c>
    </row>
    <row r="31" spans="1:22" x14ac:dyDescent="0.25">
      <c r="A31" s="409"/>
      <c r="B31" s="66"/>
      <c r="C31" s="8"/>
      <c r="D31" s="63"/>
      <c r="E31" s="67"/>
      <c r="F31" s="67"/>
      <c r="G31" s="8"/>
      <c r="H31" s="8"/>
      <c r="I31" s="8"/>
      <c r="J31" s="89"/>
      <c r="K31" s="87">
        <f>B31*C31/2</f>
        <v>0</v>
      </c>
      <c r="L31" s="68">
        <f>IFERROR(L18/(2*K31),0)</f>
        <v>0</v>
      </c>
      <c r="M31" s="68">
        <f>IFERROR(L18/(2*K31*E31),0)</f>
        <v>0</v>
      </c>
      <c r="N31" s="68">
        <f t="shared" si="2"/>
        <v>0</v>
      </c>
      <c r="O31" s="68">
        <f t="shared" si="3"/>
        <v>0</v>
      </c>
      <c r="P31" s="69"/>
      <c r="T31" s="192"/>
      <c r="U31" s="57"/>
      <c r="V31" s="194">
        <f t="shared" si="0"/>
        <v>0</v>
      </c>
    </row>
    <row r="32" spans="1:22" x14ac:dyDescent="0.25">
      <c r="A32" s="409"/>
      <c r="B32" s="66"/>
      <c r="C32" s="8"/>
      <c r="D32" s="63"/>
      <c r="E32" s="67"/>
      <c r="F32" s="67"/>
      <c r="G32" s="8"/>
      <c r="H32" s="8"/>
      <c r="I32" s="8"/>
      <c r="J32" s="89"/>
      <c r="K32" s="87">
        <f>B32*C32/2</f>
        <v>0</v>
      </c>
      <c r="L32" s="68">
        <f>IFERROR(L18/(2*K32),0)</f>
        <v>0</v>
      </c>
      <c r="M32" s="68">
        <f>IFERROR(L18/(2*K32*E32),0)</f>
        <v>0</v>
      </c>
      <c r="N32" s="68">
        <f t="shared" si="2"/>
        <v>0</v>
      </c>
      <c r="O32" s="68">
        <f t="shared" si="3"/>
        <v>0</v>
      </c>
      <c r="P32" s="69"/>
      <c r="Q32" s="4"/>
      <c r="R32" s="4"/>
      <c r="S32" s="4"/>
      <c r="T32" s="192"/>
      <c r="U32" s="57"/>
      <c r="V32" s="194">
        <f t="shared" si="0"/>
        <v>0</v>
      </c>
    </row>
    <row r="33" spans="1:22" ht="15.75" thickBot="1" x14ac:dyDescent="0.3">
      <c r="A33" s="410"/>
      <c r="B33" s="73"/>
      <c r="C33" s="64"/>
      <c r="D33" s="98"/>
      <c r="E33" s="99"/>
      <c r="F33" s="99"/>
      <c r="G33" s="64"/>
      <c r="H33" s="64"/>
      <c r="I33" s="64"/>
      <c r="J33" s="100"/>
      <c r="K33" s="101">
        <f>B33*C33/2</f>
        <v>0</v>
      </c>
      <c r="L33" s="72">
        <f>IFERROR(L18/(2*K33),0)</f>
        <v>0</v>
      </c>
      <c r="M33" s="72">
        <f>IFERROR(L18/(2*K33*E33),0)</f>
        <v>0</v>
      </c>
      <c r="N33" s="72">
        <f t="shared" si="2"/>
        <v>0</v>
      </c>
      <c r="O33" s="72">
        <f t="shared" si="3"/>
        <v>0</v>
      </c>
      <c r="P33" s="102"/>
      <c r="Q33" s="4"/>
      <c r="R33" s="4"/>
      <c r="S33" s="4"/>
      <c r="T33" s="192"/>
      <c r="U33" s="57"/>
      <c r="V33" s="194">
        <f t="shared" si="0"/>
        <v>0</v>
      </c>
    </row>
    <row r="34" spans="1:22" ht="16.5" thickTop="1" thickBot="1" x14ac:dyDescent="0.3">
      <c r="A34" s="93" t="s">
        <v>36</v>
      </c>
      <c r="B34" s="94" t="s">
        <v>39</v>
      </c>
      <c r="C34" s="95" t="s">
        <v>37</v>
      </c>
      <c r="D34" s="96" t="s">
        <v>1</v>
      </c>
      <c r="E34" s="395" t="s">
        <v>41</v>
      </c>
      <c r="F34" s="96" t="s">
        <v>38</v>
      </c>
      <c r="G34" s="407"/>
      <c r="H34" s="398" t="s">
        <v>46</v>
      </c>
      <c r="I34" s="399"/>
      <c r="J34" s="400"/>
      <c r="K34" s="106" t="s">
        <v>25</v>
      </c>
      <c r="L34" s="107" t="s">
        <v>30</v>
      </c>
      <c r="M34" s="108" t="s">
        <v>8</v>
      </c>
      <c r="N34" s="439"/>
      <c r="O34" s="402"/>
      <c r="P34" s="109" t="s">
        <v>11</v>
      </c>
      <c r="T34" s="417" t="s">
        <v>98</v>
      </c>
      <c r="U34" s="418"/>
      <c r="V34" s="194"/>
    </row>
    <row r="35" spans="1:22" ht="15.75" thickTop="1" x14ac:dyDescent="0.25">
      <c r="A35" s="411"/>
      <c r="B35" s="90"/>
      <c r="C35" s="90"/>
      <c r="D35" s="90"/>
      <c r="E35" s="396"/>
      <c r="F35" s="91"/>
      <c r="G35" s="396"/>
      <c r="H35" s="7">
        <v>0</v>
      </c>
      <c r="I35" s="401"/>
      <c r="J35" s="408"/>
      <c r="K35" s="103">
        <f>IF(B35=0,PI()*C35^2,PI()*(B35/2)^2)/IF(F35="Semi",2,IF(F35="Quarter",4,1))</f>
        <v>0</v>
      </c>
      <c r="L35" s="104">
        <f>IFERROR(L18/(2*K35),0)</f>
        <v>0</v>
      </c>
      <c r="M35" s="104">
        <f>IFERROR(L18/(2*K35*D35),0)</f>
        <v>0</v>
      </c>
      <c r="N35" s="403"/>
      <c r="O35" s="404"/>
      <c r="P35" s="105"/>
      <c r="S35" s="143"/>
      <c r="T35" s="56">
        <f>IF(B35=0,2*PI()*C35,PI()*B35/IF(F35="Semi",2,IF(F35="Quarter",4,1)))</f>
        <v>0</v>
      </c>
      <c r="U35" s="57"/>
      <c r="V35" s="194">
        <f t="shared" si="0"/>
        <v>0</v>
      </c>
    </row>
    <row r="36" spans="1:22" x14ac:dyDescent="0.25">
      <c r="A36" s="412"/>
      <c r="B36" s="66"/>
      <c r="C36" s="90"/>
      <c r="D36" s="90"/>
      <c r="E36" s="396"/>
      <c r="F36" s="67"/>
      <c r="G36" s="396"/>
      <c r="H36" s="8">
        <v>0</v>
      </c>
      <c r="I36" s="403"/>
      <c r="J36" s="409"/>
      <c r="K36" s="87">
        <f>IF(B36=0,PI()*C36^2,PI()*(B36/2)^2)/IF(F36="Semi",2,IF(F36="Quarter",4,1))</f>
        <v>0</v>
      </c>
      <c r="L36" s="68">
        <f>IFERROR(L18/(2*K36),0)</f>
        <v>0</v>
      </c>
      <c r="M36" s="68">
        <f>IFERROR(L18/(2*K36*D36),0)</f>
        <v>0</v>
      </c>
      <c r="N36" s="403"/>
      <c r="O36" s="404"/>
      <c r="P36" s="69"/>
      <c r="S36" s="143"/>
      <c r="T36" s="56">
        <f>IF(B36=0,2*PI()*C36,PI()*B36/IF(F36="Semi",2,IF(F36="Quarter",4,1)))</f>
        <v>0</v>
      </c>
      <c r="U36" s="57">
        <f>D36</f>
        <v>0</v>
      </c>
      <c r="V36" s="194">
        <f t="shared" si="0"/>
        <v>0</v>
      </c>
    </row>
    <row r="37" spans="1:22" x14ac:dyDescent="0.25">
      <c r="A37" s="412"/>
      <c r="B37" s="66"/>
      <c r="C37" s="66"/>
      <c r="D37" s="66"/>
      <c r="E37" s="396"/>
      <c r="F37" s="67"/>
      <c r="G37" s="396"/>
      <c r="H37" s="8">
        <v>0</v>
      </c>
      <c r="I37" s="403"/>
      <c r="J37" s="409"/>
      <c r="K37" s="87">
        <f>IF(B37=0,PI()*C37^2,PI()*(B37/2)^2)/IF(F37="Semi",2,IF(F37="Quarter",4,1))</f>
        <v>0</v>
      </c>
      <c r="L37" s="68">
        <f>IFERROR(L18/(2*K37),0)</f>
        <v>0</v>
      </c>
      <c r="M37" s="68">
        <f>IFERROR(L18/(2*K37*D37),0)</f>
        <v>0</v>
      </c>
      <c r="N37" s="403"/>
      <c r="O37" s="404"/>
      <c r="P37" s="69"/>
      <c r="S37" s="143"/>
      <c r="T37" s="56">
        <f>IF(B37=0,2*PI()*C37,PI()*B37/IF(F37="Semi",2,IF(F37="Quarter",4,1)))</f>
        <v>0</v>
      </c>
      <c r="U37" s="57">
        <f>D37</f>
        <v>0</v>
      </c>
      <c r="V37" s="194">
        <f t="shared" si="0"/>
        <v>0</v>
      </c>
    </row>
    <row r="38" spans="1:22" x14ac:dyDescent="0.25">
      <c r="A38" s="412"/>
      <c r="B38" s="66"/>
      <c r="C38" s="66"/>
      <c r="D38" s="66"/>
      <c r="E38" s="396"/>
      <c r="F38" s="67"/>
      <c r="G38" s="396"/>
      <c r="H38" s="8">
        <v>0</v>
      </c>
      <c r="I38" s="403"/>
      <c r="J38" s="409"/>
      <c r="K38" s="87">
        <f>IF(B38=0,PI()*C38^2,PI()*(B38/2)^2)/IF(F38="Semi",2,IF(F38="Quarter",4,1))</f>
        <v>0</v>
      </c>
      <c r="L38" s="68">
        <f>IFERROR(L18/(2*K38),0)</f>
        <v>0</v>
      </c>
      <c r="M38" s="68">
        <f>IFERROR(L18/(2*K38*D38),0)</f>
        <v>0</v>
      </c>
      <c r="N38" s="403"/>
      <c r="O38" s="404"/>
      <c r="P38" s="69"/>
      <c r="S38" s="143"/>
      <c r="T38" s="56">
        <f>IF(B38=0,2*PI()*C38,PI()*B38/IF(F38="Semi",2,IF(F38="Quarter",4,1)))</f>
        <v>0</v>
      </c>
      <c r="U38" s="57">
        <f>D38</f>
        <v>0</v>
      </c>
      <c r="V38" s="194">
        <f t="shared" si="0"/>
        <v>0</v>
      </c>
    </row>
    <row r="39" spans="1:22" ht="15.75" thickBot="1" x14ac:dyDescent="0.3">
      <c r="A39" s="413"/>
      <c r="B39" s="74"/>
      <c r="C39" s="61"/>
      <c r="D39" s="61"/>
      <c r="E39" s="397"/>
      <c r="F39" s="61"/>
      <c r="G39" s="397"/>
      <c r="H39" s="61">
        <v>0</v>
      </c>
      <c r="I39" s="405"/>
      <c r="J39" s="410"/>
      <c r="K39" s="88">
        <f>IF(B39=0,PI()*C39^2,PI()*(B39/2)^2)/IF(F39="Semi",2,IF(F39="Quarter",4,1))</f>
        <v>0</v>
      </c>
      <c r="L39" s="70">
        <f>IFERROR(L18/(2*K39),0)</f>
        <v>0</v>
      </c>
      <c r="M39" s="70">
        <f>IFERROR(L18/(2*K39*D39),0)</f>
        <v>0</v>
      </c>
      <c r="N39" s="405"/>
      <c r="O39" s="406"/>
      <c r="P39" s="71"/>
      <c r="T39" s="170">
        <f>IF(B39=0,2*PI()*C39,PI()*B39/IF(F39="Semi",2,IF(F39="Quarter",4,1)))</f>
        <v>0</v>
      </c>
      <c r="U39" s="135">
        <f>D39</f>
        <v>0</v>
      </c>
      <c r="V39" s="194">
        <f t="shared" si="0"/>
        <v>0</v>
      </c>
    </row>
    <row r="40" spans="1:22" ht="15.75" thickTop="1" x14ac:dyDescent="0.25">
      <c r="U40" s="4"/>
      <c r="V40" s="4"/>
    </row>
    <row r="41" spans="1:22" x14ac:dyDescent="0.25">
      <c r="V41" s="4"/>
    </row>
    <row r="42" spans="1:2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U42" s="4"/>
      <c r="V42" s="4"/>
    </row>
    <row r="43" spans="1:22" x14ac:dyDescent="0.25">
      <c r="A43" s="4"/>
      <c r="D43" s="4"/>
      <c r="E43" s="4"/>
      <c r="G43" s="4"/>
      <c r="H43" s="4"/>
      <c r="I43" s="4"/>
      <c r="U43" s="4"/>
      <c r="V43" s="4"/>
    </row>
    <row r="44" spans="1:22" x14ac:dyDescent="0.25">
      <c r="U44" s="4"/>
      <c r="V44" s="4"/>
    </row>
    <row r="45" spans="1:22" x14ac:dyDescent="0.25">
      <c r="U45" s="4"/>
      <c r="V45" s="4"/>
    </row>
    <row r="46" spans="1:22" x14ac:dyDescent="0.25">
      <c r="U46" s="4"/>
      <c r="V46" s="4"/>
    </row>
    <row r="47" spans="1:22" x14ac:dyDescent="0.25">
      <c r="U47" s="4"/>
      <c r="V47" s="4"/>
    </row>
    <row r="48" spans="1:22" x14ac:dyDescent="0.25">
      <c r="U48" s="4"/>
      <c r="V48" s="4"/>
    </row>
    <row r="49" spans="21:22" x14ac:dyDescent="0.25">
      <c r="U49" s="4"/>
      <c r="V49" s="4"/>
    </row>
    <row r="50" spans="21:22" x14ac:dyDescent="0.25">
      <c r="U50" s="4"/>
      <c r="V50" s="4"/>
    </row>
    <row r="51" spans="21:22" x14ac:dyDescent="0.25">
      <c r="U51" s="4"/>
      <c r="V51" s="4"/>
    </row>
    <row r="52" spans="21:22" x14ac:dyDescent="0.25">
      <c r="U52" s="4"/>
      <c r="V52" s="4"/>
    </row>
    <row r="53" spans="21:22" x14ac:dyDescent="0.25">
      <c r="U53" s="4"/>
      <c r="V53" s="4"/>
    </row>
    <row r="54" spans="21:22" x14ac:dyDescent="0.25">
      <c r="U54" s="4"/>
      <c r="V54" s="4"/>
    </row>
    <row r="55" spans="21:22" x14ac:dyDescent="0.25">
      <c r="U55" s="4"/>
      <c r="V55" s="4"/>
    </row>
    <row r="56" spans="21:22" x14ac:dyDescent="0.25">
      <c r="U56" s="4"/>
      <c r="V56" s="4"/>
    </row>
    <row r="57" spans="21:22" x14ac:dyDescent="0.25">
      <c r="U57" s="4"/>
      <c r="V57" s="4"/>
    </row>
    <row r="58" spans="21:22" x14ac:dyDescent="0.25">
      <c r="U58" s="4"/>
      <c r="V58" s="4"/>
    </row>
    <row r="59" spans="21:22" x14ac:dyDescent="0.25">
      <c r="U59" s="4"/>
      <c r="V59" s="4"/>
    </row>
    <row r="60" spans="21:22" x14ac:dyDescent="0.25">
      <c r="U60" s="4"/>
      <c r="V60" s="4"/>
    </row>
  </sheetData>
  <mergeCells count="23">
    <mergeCell ref="L11:R11"/>
    <mergeCell ref="T34:U34"/>
    <mergeCell ref="T11:U11"/>
    <mergeCell ref="A1:M1"/>
    <mergeCell ref="D16:E18"/>
    <mergeCell ref="I16:J18"/>
    <mergeCell ref="F17:G18"/>
    <mergeCell ref="H17:H18"/>
    <mergeCell ref="A8:J8"/>
    <mergeCell ref="A21:P21"/>
    <mergeCell ref="O22:O27"/>
    <mergeCell ref="N34:O39"/>
    <mergeCell ref="A23:A27"/>
    <mergeCell ref="A29:A33"/>
    <mergeCell ref="A35:A39"/>
    <mergeCell ref="H34:J34"/>
    <mergeCell ref="E34:E39"/>
    <mergeCell ref="H28:J28"/>
    <mergeCell ref="H22:J22"/>
    <mergeCell ref="F22:G27"/>
    <mergeCell ref="G34:G39"/>
    <mergeCell ref="I35:J39"/>
    <mergeCell ref="J23:J27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DD00-6519-42FE-B782-EC16681C35F9}">
  <dimension ref="A1:O25"/>
  <sheetViews>
    <sheetView tabSelected="1" workbookViewId="0">
      <selection activeCell="E14" sqref="E14"/>
    </sheetView>
  </sheetViews>
  <sheetFormatPr defaultRowHeight="15" x14ac:dyDescent="0.25"/>
  <cols>
    <col min="3" max="3" width="12" bestFit="1" customWidth="1"/>
    <col min="9" max="9" width="9" customWidth="1"/>
    <col min="10" max="10" width="11.7109375" customWidth="1"/>
    <col min="12" max="12" width="11.85546875" customWidth="1"/>
  </cols>
  <sheetData>
    <row r="1" spans="1:15" ht="20.25" thickTop="1" thickBot="1" x14ac:dyDescent="0.35">
      <c r="A1" s="448" t="s">
        <v>99</v>
      </c>
      <c r="B1" s="449"/>
      <c r="C1" s="450"/>
      <c r="D1" s="110"/>
      <c r="M1" s="153"/>
      <c r="N1" s="153"/>
      <c r="O1" s="153"/>
    </row>
    <row r="2" spans="1:15" ht="15.75" thickTop="1" x14ac:dyDescent="0.25">
      <c r="A2" s="446"/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160"/>
      <c r="N2" s="160"/>
      <c r="O2" s="4"/>
    </row>
    <row r="3" spans="1:15" x14ac:dyDescent="0.25">
      <c r="A3" s="446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N3" s="28"/>
      <c r="O3" s="4"/>
    </row>
    <row r="4" spans="1:15" x14ac:dyDescent="0.25">
      <c r="A4" s="446"/>
      <c r="B4" s="446"/>
      <c r="C4" s="446"/>
      <c r="D4" s="446"/>
      <c r="E4" s="446"/>
      <c r="F4" s="446"/>
      <c r="G4" s="446"/>
      <c r="H4" s="446"/>
      <c r="I4" s="446"/>
      <c r="J4" s="446"/>
      <c r="K4" s="446"/>
      <c r="L4" s="446"/>
      <c r="N4" s="4"/>
      <c r="O4" s="4"/>
    </row>
    <row r="5" spans="1:15" x14ac:dyDescent="0.25">
      <c r="A5" s="446"/>
      <c r="B5" s="446"/>
      <c r="C5" s="446"/>
      <c r="D5" s="446"/>
      <c r="E5" s="446"/>
      <c r="F5" s="446"/>
      <c r="G5" s="446"/>
      <c r="H5" s="446"/>
      <c r="I5" s="446"/>
      <c r="J5" s="446"/>
      <c r="K5" s="446"/>
      <c r="L5" s="446"/>
      <c r="N5" s="4"/>
      <c r="O5" s="4"/>
    </row>
    <row r="6" spans="1:15" x14ac:dyDescent="0.25">
      <c r="A6" s="446"/>
      <c r="B6" s="446"/>
      <c r="C6" s="446"/>
      <c r="D6" s="446"/>
      <c r="E6" s="446"/>
      <c r="F6" s="446"/>
      <c r="G6" s="446"/>
      <c r="H6" s="446"/>
      <c r="I6" s="446"/>
      <c r="J6" s="446"/>
      <c r="K6" s="446"/>
      <c r="L6" s="446"/>
      <c r="N6" s="4"/>
      <c r="O6" s="4"/>
    </row>
    <row r="7" spans="1:15" x14ac:dyDescent="0.25">
      <c r="A7" s="446"/>
      <c r="B7" s="446"/>
      <c r="C7" s="446"/>
      <c r="D7" s="446"/>
      <c r="E7" s="446"/>
      <c r="F7" s="446"/>
      <c r="G7" s="446"/>
      <c r="H7" s="446"/>
      <c r="I7" s="446"/>
      <c r="J7" s="446"/>
      <c r="K7" s="446"/>
      <c r="L7" s="446"/>
      <c r="N7" s="4"/>
      <c r="O7" s="4"/>
    </row>
    <row r="8" spans="1:15" x14ac:dyDescent="0.25">
      <c r="A8" s="455" t="s">
        <v>55</v>
      </c>
      <c r="B8" s="456"/>
      <c r="C8" s="456"/>
      <c r="D8" s="456"/>
      <c r="E8" s="456"/>
      <c r="F8" s="456"/>
      <c r="G8" s="456"/>
      <c r="H8" s="456"/>
      <c r="I8" s="456"/>
      <c r="J8" s="456"/>
      <c r="K8" s="456"/>
      <c r="L8" s="457"/>
      <c r="N8" s="4"/>
      <c r="O8" s="4"/>
    </row>
    <row r="9" spans="1:15" ht="18.75" x14ac:dyDescent="0.35">
      <c r="A9" s="453" t="s">
        <v>59</v>
      </c>
      <c r="B9" s="133" t="s">
        <v>60</v>
      </c>
      <c r="C9" s="132" t="s">
        <v>61</v>
      </c>
      <c r="D9" s="132" t="s">
        <v>62</v>
      </c>
      <c r="E9" s="152" t="s">
        <v>63</v>
      </c>
      <c r="F9" s="133" t="s">
        <v>64</v>
      </c>
      <c r="G9" s="132" t="s">
        <v>65</v>
      </c>
      <c r="H9" s="152" t="s">
        <v>66</v>
      </c>
      <c r="I9" s="133" t="s">
        <v>67</v>
      </c>
      <c r="J9" s="152" t="s">
        <v>92</v>
      </c>
      <c r="K9" s="133" t="s">
        <v>68</v>
      </c>
      <c r="L9" s="152" t="s">
        <v>93</v>
      </c>
      <c r="N9" s="4"/>
      <c r="O9" s="4"/>
    </row>
    <row r="10" spans="1:15" ht="18" thickBot="1" x14ac:dyDescent="0.3">
      <c r="A10" s="454"/>
      <c r="B10" s="147" t="s">
        <v>2</v>
      </c>
      <c r="C10" s="138" t="s">
        <v>2</v>
      </c>
      <c r="D10" s="138" t="s">
        <v>2</v>
      </c>
      <c r="E10" s="139" t="s">
        <v>2</v>
      </c>
      <c r="F10" s="155" t="s">
        <v>56</v>
      </c>
      <c r="G10" s="132" t="s">
        <v>57</v>
      </c>
      <c r="H10" s="152" t="s">
        <v>57</v>
      </c>
      <c r="I10" s="133" t="s">
        <v>57</v>
      </c>
      <c r="J10" s="152" t="s">
        <v>58</v>
      </c>
      <c r="K10" s="133" t="s">
        <v>57</v>
      </c>
      <c r="L10" s="152" t="s">
        <v>58</v>
      </c>
      <c r="N10" s="4"/>
      <c r="O10" s="4"/>
    </row>
    <row r="11" spans="1:15" ht="15.75" thickTop="1" x14ac:dyDescent="0.25">
      <c r="A11" s="148">
        <v>1</v>
      </c>
      <c r="B11" s="66">
        <v>3</v>
      </c>
      <c r="C11" s="66">
        <v>0.75</v>
      </c>
      <c r="D11" s="66">
        <v>1.5</v>
      </c>
      <c r="E11" s="394">
        <v>0.375</v>
      </c>
      <c r="F11" s="192">
        <f>B11*C11</f>
        <v>2.25</v>
      </c>
      <c r="G11" s="5">
        <f>F11*D11</f>
        <v>3.375</v>
      </c>
      <c r="H11" s="136">
        <f>F11*E11</f>
        <v>0.84375</v>
      </c>
      <c r="I11" s="137">
        <f>F11*(E11-C21)^2</f>
        <v>15.50390625</v>
      </c>
      <c r="J11" s="151">
        <f t="shared" ref="J11:J17" si="0">B11*C11^3/12</f>
        <v>0.10546875</v>
      </c>
      <c r="K11" s="137">
        <f>F11*(D11-C20)^2</f>
        <v>0</v>
      </c>
      <c r="L11" s="136">
        <f t="shared" ref="L11:L17" si="1">C11*B11^3/12</f>
        <v>1.6875</v>
      </c>
      <c r="N11" s="142"/>
      <c r="O11" s="142"/>
    </row>
    <row r="12" spans="1:15" x14ac:dyDescent="0.25">
      <c r="A12" s="149">
        <v>2</v>
      </c>
      <c r="B12" s="66">
        <v>3</v>
      </c>
      <c r="C12" s="66">
        <v>0.75</v>
      </c>
      <c r="D12" s="8">
        <v>1.5</v>
      </c>
      <c r="E12" s="89">
        <v>5.625</v>
      </c>
      <c r="F12" s="137">
        <f t="shared" ref="F12:F17" si="2">B12*C12</f>
        <v>2.25</v>
      </c>
      <c r="G12" s="5">
        <f t="shared" ref="G12:G17" si="3">F12*D12</f>
        <v>3.375</v>
      </c>
      <c r="H12" s="136">
        <f t="shared" ref="H12:H17" si="4">F12*E12</f>
        <v>12.65625</v>
      </c>
      <c r="I12" s="56">
        <f>F12*(E12-C21)^2</f>
        <v>15.50390625</v>
      </c>
      <c r="J12" s="151">
        <f t="shared" si="0"/>
        <v>0.10546875</v>
      </c>
      <c r="K12" s="137">
        <f>F12*(D12-C20)^2</f>
        <v>0</v>
      </c>
      <c r="L12" s="57">
        <f t="shared" si="1"/>
        <v>1.6875</v>
      </c>
    </row>
    <row r="13" spans="1:15" ht="15.75" customHeight="1" x14ac:dyDescent="0.25">
      <c r="A13" s="149">
        <v>3</v>
      </c>
      <c r="B13" s="66">
        <v>0.08</v>
      </c>
      <c r="C13" s="66">
        <v>4.5</v>
      </c>
      <c r="D13" s="66">
        <v>1.5</v>
      </c>
      <c r="E13" s="394">
        <v>3</v>
      </c>
      <c r="F13" s="192">
        <f t="shared" si="2"/>
        <v>0.36</v>
      </c>
      <c r="G13" s="5">
        <f t="shared" si="3"/>
        <v>0.54</v>
      </c>
      <c r="H13" s="136">
        <f t="shared" si="4"/>
        <v>1.08</v>
      </c>
      <c r="I13" s="56">
        <f>F13*(E13-C21)^2</f>
        <v>0</v>
      </c>
      <c r="J13" s="151">
        <f t="shared" si="0"/>
        <v>0.60750000000000004</v>
      </c>
      <c r="K13" s="137">
        <f>F13*(D13-C20)^2</f>
        <v>0</v>
      </c>
      <c r="L13" s="136">
        <f t="shared" si="1"/>
        <v>1.9200000000000003E-4</v>
      </c>
    </row>
    <row r="14" spans="1:15" x14ac:dyDescent="0.25">
      <c r="A14" s="149">
        <v>4</v>
      </c>
      <c r="B14" s="66"/>
      <c r="C14" s="66"/>
      <c r="D14" s="8"/>
      <c r="E14" s="89"/>
      <c r="F14" s="137">
        <f t="shared" si="2"/>
        <v>0</v>
      </c>
      <c r="G14" s="5">
        <f t="shared" si="3"/>
        <v>0</v>
      </c>
      <c r="H14" s="136">
        <f t="shared" si="4"/>
        <v>0</v>
      </c>
      <c r="I14" s="56">
        <f>F14*(E14-C21)^2</f>
        <v>0</v>
      </c>
      <c r="J14" s="151">
        <f t="shared" si="0"/>
        <v>0</v>
      </c>
      <c r="K14" s="137">
        <f>F14*(D14-C20)^2</f>
        <v>0</v>
      </c>
      <c r="L14" s="136">
        <f t="shared" si="1"/>
        <v>0</v>
      </c>
      <c r="O14" s="4"/>
    </row>
    <row r="15" spans="1:15" x14ac:dyDescent="0.25">
      <c r="A15" s="149">
        <v>5</v>
      </c>
      <c r="B15" s="66"/>
      <c r="C15" s="66"/>
      <c r="D15" s="8"/>
      <c r="E15" s="89"/>
      <c r="F15" s="137">
        <f t="shared" si="2"/>
        <v>0</v>
      </c>
      <c r="G15" s="5">
        <f t="shared" si="3"/>
        <v>0</v>
      </c>
      <c r="H15" s="136">
        <f t="shared" si="4"/>
        <v>0</v>
      </c>
      <c r="I15" s="56">
        <f>F15*(E15-C21)^2</f>
        <v>0</v>
      </c>
      <c r="J15" s="151">
        <f t="shared" si="0"/>
        <v>0</v>
      </c>
      <c r="K15" s="137">
        <f>F15*(D15-C20)^2</f>
        <v>0</v>
      </c>
      <c r="L15" s="136">
        <f t="shared" si="1"/>
        <v>0</v>
      </c>
    </row>
    <row r="16" spans="1:15" x14ac:dyDescent="0.25">
      <c r="A16" s="166">
        <v>6</v>
      </c>
      <c r="B16" s="66"/>
      <c r="C16" s="66"/>
      <c r="D16" s="8"/>
      <c r="E16" s="89"/>
      <c r="F16" s="137">
        <f t="shared" si="2"/>
        <v>0</v>
      </c>
      <c r="G16" s="5">
        <f t="shared" si="3"/>
        <v>0</v>
      </c>
      <c r="H16" s="136">
        <f t="shared" si="4"/>
        <v>0</v>
      </c>
      <c r="I16" s="56">
        <f>F16*(E16-C21)^2</f>
        <v>0</v>
      </c>
      <c r="J16" s="151">
        <f t="shared" si="0"/>
        <v>0</v>
      </c>
      <c r="K16" s="137">
        <f>F16*(D16-C20)^2</f>
        <v>0</v>
      </c>
      <c r="L16" s="136">
        <f t="shared" si="1"/>
        <v>0</v>
      </c>
      <c r="N16" s="4"/>
    </row>
    <row r="17" spans="1:14" ht="15.75" thickBot="1" x14ac:dyDescent="0.3">
      <c r="A17" s="169">
        <v>7</v>
      </c>
      <c r="B17" s="173"/>
      <c r="C17" s="61"/>
      <c r="D17" s="61"/>
      <c r="E17" s="174"/>
      <c r="F17" s="170">
        <f t="shared" si="2"/>
        <v>0</v>
      </c>
      <c r="G17" s="134">
        <f t="shared" si="3"/>
        <v>0</v>
      </c>
      <c r="H17" s="150">
        <f t="shared" si="4"/>
        <v>0</v>
      </c>
      <c r="I17" s="170">
        <f>F17*(E17-C21)^2</f>
        <v>0</v>
      </c>
      <c r="J17" s="135">
        <f t="shared" si="0"/>
        <v>0</v>
      </c>
      <c r="K17" s="137">
        <f>F17*(D17-C20)^2</f>
        <v>0</v>
      </c>
      <c r="L17" s="136">
        <f t="shared" si="1"/>
        <v>0</v>
      </c>
      <c r="N17" s="4"/>
    </row>
    <row r="18" spans="1:14" ht="16.5" thickTop="1" thickBot="1" x14ac:dyDescent="0.3">
      <c r="A18" s="142"/>
      <c r="B18" s="4"/>
      <c r="C18" s="4"/>
      <c r="D18" s="4"/>
      <c r="E18" s="143"/>
      <c r="F18" s="157">
        <f>SUM(F11:F17)</f>
        <v>4.8600000000000003</v>
      </c>
      <c r="G18" s="167">
        <f>SUM(G11:G17)</f>
        <v>7.29</v>
      </c>
      <c r="H18" s="168">
        <f>SUM(H11:H17)</f>
        <v>14.58</v>
      </c>
      <c r="I18" s="171">
        <f>SUM(I11:I17)</f>
        <v>31.0078125</v>
      </c>
      <c r="J18" s="159">
        <f>SUM(J11:J17)</f>
        <v>0.81843750000000004</v>
      </c>
      <c r="K18" s="154">
        <f>SUM(K11:K16)</f>
        <v>0</v>
      </c>
      <c r="L18" s="168">
        <f>SUM(L11:L16)</f>
        <v>3.3751920000000002</v>
      </c>
    </row>
    <row r="19" spans="1:14" ht="20.25" thickTop="1" thickBot="1" x14ac:dyDescent="0.4">
      <c r="A19" s="154"/>
      <c r="B19" s="154"/>
      <c r="C19" s="154"/>
      <c r="D19" s="154"/>
      <c r="E19" s="143"/>
      <c r="F19" s="144" t="s">
        <v>69</v>
      </c>
      <c r="G19" s="145" t="s">
        <v>70</v>
      </c>
      <c r="H19" s="146" t="s">
        <v>71</v>
      </c>
      <c r="I19" s="141" t="s">
        <v>72</v>
      </c>
      <c r="J19" s="146" t="s">
        <v>73</v>
      </c>
      <c r="K19" s="141" t="s">
        <v>74</v>
      </c>
      <c r="L19" s="140" t="s">
        <v>75</v>
      </c>
    </row>
    <row r="20" spans="1:14" ht="18.75" thickTop="1" x14ac:dyDescent="0.35">
      <c r="A20" s="451" t="s">
        <v>76</v>
      </c>
      <c r="B20" s="420"/>
      <c r="C20" s="184">
        <f>IFERROR((G18/F18),0)</f>
        <v>1.5</v>
      </c>
      <c r="D20" s="181" t="s">
        <v>81</v>
      </c>
    </row>
    <row r="21" spans="1:14" ht="18.75" thickBot="1" x14ac:dyDescent="0.4">
      <c r="A21" s="452" t="s">
        <v>77</v>
      </c>
      <c r="B21" s="418"/>
      <c r="C21" s="185">
        <f>IFERROR((H18/F18),0)</f>
        <v>3</v>
      </c>
      <c r="D21" s="182" t="s">
        <v>81</v>
      </c>
      <c r="G21" s="444" t="s">
        <v>91</v>
      </c>
      <c r="H21" s="445"/>
      <c r="I21" s="445"/>
      <c r="J21" s="445"/>
      <c r="K21" s="445"/>
      <c r="L21" s="410"/>
    </row>
    <row r="22" spans="1:14" ht="19.5" thickTop="1" x14ac:dyDescent="0.35">
      <c r="A22" s="441" t="s">
        <v>78</v>
      </c>
      <c r="B22" s="418"/>
      <c r="C22" s="298">
        <f>IFERROR(J18+I18,0)</f>
        <v>31.826250000000002</v>
      </c>
      <c r="D22" s="182" t="s">
        <v>80</v>
      </c>
      <c r="G22" s="162" t="s">
        <v>62</v>
      </c>
      <c r="H22" s="163" t="s">
        <v>63</v>
      </c>
      <c r="I22" s="164" t="s">
        <v>83</v>
      </c>
      <c r="J22" s="165" t="s">
        <v>84</v>
      </c>
      <c r="K22" s="148" t="s">
        <v>86</v>
      </c>
      <c r="L22" s="161" t="s">
        <v>82</v>
      </c>
    </row>
    <row r="23" spans="1:14" ht="19.5" thickBot="1" x14ac:dyDescent="0.4">
      <c r="A23" s="442" t="s">
        <v>79</v>
      </c>
      <c r="B23" s="443"/>
      <c r="C23" s="186">
        <f>IFERROR(L18+K18,0)</f>
        <v>3.3751920000000002</v>
      </c>
      <c r="D23" s="183" t="s">
        <v>80</v>
      </c>
      <c r="G23" s="158" t="s">
        <v>2</v>
      </c>
      <c r="H23" s="140" t="s">
        <v>2</v>
      </c>
      <c r="I23" s="187" t="s">
        <v>87</v>
      </c>
      <c r="J23" s="188" t="s">
        <v>87</v>
      </c>
      <c r="K23" s="189" t="s">
        <v>88</v>
      </c>
      <c r="L23" s="156" t="s">
        <v>85</v>
      </c>
    </row>
    <row r="24" spans="1:14" ht="16.5" thickTop="1" thickBot="1" x14ac:dyDescent="0.3">
      <c r="G24" s="175">
        <v>0</v>
      </c>
      <c r="H24" s="176">
        <v>0</v>
      </c>
      <c r="I24" s="177">
        <v>5</v>
      </c>
      <c r="J24" s="178">
        <v>10</v>
      </c>
      <c r="K24" s="179">
        <v>20</v>
      </c>
      <c r="L24" s="180">
        <f>(K24/F18)+((J24*(H24-C21))/C22)-((I24*(G24-C20))/C23)</f>
        <v>5.3947040252757734</v>
      </c>
    </row>
    <row r="25" spans="1:14" ht="15.75" thickTop="1" x14ac:dyDescent="0.25">
      <c r="I25" s="433" t="s">
        <v>94</v>
      </c>
      <c r="J25" s="447"/>
    </row>
  </sheetData>
  <mergeCells count="10">
    <mergeCell ref="A1:C1"/>
    <mergeCell ref="A20:B20"/>
    <mergeCell ref="A21:B21"/>
    <mergeCell ref="A9:A10"/>
    <mergeCell ref="A8:L8"/>
    <mergeCell ref="A22:B22"/>
    <mergeCell ref="A23:B23"/>
    <mergeCell ref="G21:L21"/>
    <mergeCell ref="A2:L7"/>
    <mergeCell ref="I25:J25"/>
  </mergeCells>
  <phoneticPr fontId="11" type="noConversion"/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E800-8733-4BBF-AE34-0360FA0BB606}">
  <dimension ref="A1:R27"/>
  <sheetViews>
    <sheetView workbookViewId="0">
      <selection activeCell="C28" sqref="C28"/>
    </sheetView>
  </sheetViews>
  <sheetFormatPr defaultRowHeight="15" x14ac:dyDescent="0.25"/>
  <cols>
    <col min="7" max="7" width="12" bestFit="1" customWidth="1"/>
  </cols>
  <sheetData>
    <row r="1" spans="1:17" ht="20.25" thickTop="1" thickBot="1" x14ac:dyDescent="0.35">
      <c r="A1" s="448" t="s">
        <v>99</v>
      </c>
      <c r="B1" s="449"/>
      <c r="C1" s="450"/>
      <c r="D1" s="110"/>
    </row>
    <row r="2" spans="1:17" ht="15.75" thickTop="1" x14ac:dyDescent="0.25">
      <c r="A2" s="446"/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</row>
    <row r="3" spans="1:17" x14ac:dyDescent="0.25">
      <c r="A3" s="446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</row>
    <row r="4" spans="1:17" x14ac:dyDescent="0.25">
      <c r="A4" s="446"/>
      <c r="B4" s="446"/>
      <c r="C4" s="446"/>
      <c r="D4" s="446"/>
      <c r="E4" s="446"/>
      <c r="F4" s="446"/>
      <c r="G4" s="446"/>
      <c r="H4" s="446"/>
      <c r="I4" s="446"/>
      <c r="J4" s="446"/>
      <c r="K4" s="446"/>
      <c r="L4" s="446"/>
    </row>
    <row r="5" spans="1:17" x14ac:dyDescent="0.25">
      <c r="A5" s="446"/>
      <c r="B5" s="446"/>
      <c r="C5" s="446"/>
      <c r="D5" s="446"/>
      <c r="E5" s="446"/>
      <c r="F5" s="446"/>
      <c r="G5" s="446"/>
      <c r="H5" s="446"/>
      <c r="I5" s="446"/>
      <c r="J5" s="446"/>
      <c r="K5" s="446"/>
      <c r="L5" s="446"/>
    </row>
    <row r="6" spans="1:17" x14ac:dyDescent="0.25">
      <c r="A6" s="446"/>
      <c r="B6" s="446"/>
      <c r="C6" s="446"/>
      <c r="D6" s="446"/>
      <c r="E6" s="446"/>
      <c r="F6" s="446"/>
      <c r="G6" s="446"/>
      <c r="H6" s="446"/>
      <c r="I6" s="446"/>
      <c r="J6" s="446"/>
      <c r="K6" s="446"/>
      <c r="L6" s="446"/>
    </row>
    <row r="7" spans="1:17" x14ac:dyDescent="0.25">
      <c r="A7" s="446"/>
      <c r="B7" s="446"/>
      <c r="C7" s="446"/>
      <c r="D7" s="446"/>
      <c r="E7" s="446"/>
      <c r="F7" s="446"/>
      <c r="G7" s="446"/>
      <c r="H7" s="446"/>
      <c r="I7" s="446"/>
      <c r="J7" s="446"/>
      <c r="K7" s="446"/>
      <c r="L7" s="446"/>
    </row>
    <row r="8" spans="1:17" x14ac:dyDescent="0.25">
      <c r="A8" s="455" t="s">
        <v>55</v>
      </c>
      <c r="B8" s="456"/>
      <c r="C8" s="456"/>
      <c r="D8" s="456"/>
      <c r="E8" s="456"/>
      <c r="F8" s="456"/>
      <c r="G8" s="456"/>
      <c r="H8" s="456"/>
      <c r="I8" s="456"/>
      <c r="J8" s="456"/>
      <c r="K8" s="456"/>
      <c r="L8" s="457"/>
    </row>
    <row r="9" spans="1:17" ht="18.75" x14ac:dyDescent="0.35">
      <c r="A9" s="453" t="s">
        <v>59</v>
      </c>
      <c r="B9" s="147" t="s">
        <v>64</v>
      </c>
      <c r="C9" s="138" t="s">
        <v>62</v>
      </c>
      <c r="D9" s="139" t="s">
        <v>63</v>
      </c>
      <c r="E9" s="138" t="s">
        <v>65</v>
      </c>
      <c r="F9" s="132" t="s">
        <v>66</v>
      </c>
      <c r="G9" s="147" t="s">
        <v>67</v>
      </c>
      <c r="H9" s="198" t="s">
        <v>68</v>
      </c>
      <c r="I9" s="441" t="s">
        <v>100</v>
      </c>
      <c r="J9" s="464"/>
      <c r="K9" s="464"/>
      <c r="L9" s="418"/>
    </row>
    <row r="10" spans="1:17" ht="18" thickBot="1" x14ac:dyDescent="0.3">
      <c r="A10" s="454"/>
      <c r="B10" s="133" t="s">
        <v>56</v>
      </c>
      <c r="C10" s="132" t="s">
        <v>2</v>
      </c>
      <c r="D10" s="152" t="s">
        <v>2</v>
      </c>
      <c r="E10" s="133" t="s">
        <v>57</v>
      </c>
      <c r="F10" s="132" t="s">
        <v>57</v>
      </c>
      <c r="G10" s="132" t="s">
        <v>57</v>
      </c>
      <c r="H10" s="152" t="s">
        <v>57</v>
      </c>
      <c r="I10" s="452" t="s">
        <v>10</v>
      </c>
      <c r="J10" s="464"/>
      <c r="K10" s="464"/>
      <c r="L10" s="418"/>
    </row>
    <row r="11" spans="1:17" ht="15.75" thickTop="1" x14ac:dyDescent="0.25">
      <c r="A11" s="148">
        <v>1</v>
      </c>
      <c r="B11" s="66">
        <v>0.2</v>
      </c>
      <c r="C11" s="8">
        <v>0</v>
      </c>
      <c r="D11" s="89">
        <v>8</v>
      </c>
      <c r="E11" s="56">
        <f t="shared" ref="E11:E19" si="0">B11*C11</f>
        <v>0</v>
      </c>
      <c r="F11" s="2">
        <f t="shared" ref="F11:F19" si="1">B11*D11</f>
        <v>1.6</v>
      </c>
      <c r="G11" s="2">
        <f>B11*(D11-C24)^2</f>
        <v>0</v>
      </c>
      <c r="H11" s="57">
        <f>B11*(C11-C23)^2</f>
        <v>0</v>
      </c>
      <c r="I11" s="458">
        <f>IFERROR(J26*(D11-C24)/C25-I26*(C11-C23)/C26,0)</f>
        <v>0</v>
      </c>
      <c r="J11" s="459"/>
      <c r="K11" s="459"/>
      <c r="L11" s="460"/>
      <c r="N11" s="461" t="s">
        <v>104</v>
      </c>
      <c r="O11" s="462"/>
      <c r="P11" s="462"/>
      <c r="Q11" s="463"/>
    </row>
    <row r="12" spans="1:17" x14ac:dyDescent="0.25">
      <c r="A12" s="149">
        <v>2</v>
      </c>
      <c r="B12" s="66"/>
      <c r="C12" s="8"/>
      <c r="D12" s="89"/>
      <c r="E12" s="56">
        <f t="shared" si="0"/>
        <v>0</v>
      </c>
      <c r="F12" s="2">
        <f t="shared" si="1"/>
        <v>0</v>
      </c>
      <c r="G12" s="2">
        <f>B12*(D12-C24)^2</f>
        <v>0</v>
      </c>
      <c r="H12" s="57">
        <f>B12*(C12-C23)^2</f>
        <v>0</v>
      </c>
      <c r="I12" s="458">
        <f>IFERROR(J26*(D12-C24)/C25-I26*(C12-C23)/C26,0)</f>
        <v>0</v>
      </c>
      <c r="J12" s="459"/>
      <c r="K12" s="459"/>
      <c r="L12" s="460"/>
      <c r="N12" s="110" t="s">
        <v>37</v>
      </c>
      <c r="O12" s="6" t="s">
        <v>1</v>
      </c>
      <c r="P12" s="5" t="s">
        <v>25</v>
      </c>
      <c r="Q12" s="143" t="s">
        <v>103</v>
      </c>
    </row>
    <row r="13" spans="1:17" ht="17.25" x14ac:dyDescent="0.25">
      <c r="A13" s="149">
        <v>3</v>
      </c>
      <c r="B13" s="66"/>
      <c r="C13" s="8"/>
      <c r="D13" s="89"/>
      <c r="E13" s="56">
        <f t="shared" si="0"/>
        <v>0</v>
      </c>
      <c r="F13" s="2">
        <f t="shared" si="1"/>
        <v>0</v>
      </c>
      <c r="G13" s="2">
        <f>B13*(D13-C24)^2</f>
        <v>0</v>
      </c>
      <c r="H13" s="57">
        <f>B13*(C13-C23)^2</f>
        <v>0</v>
      </c>
      <c r="I13" s="458">
        <f>IFERROR(J26*(D13-C24)/C25-I26*(C13-C23)/C26,0)</f>
        <v>0</v>
      </c>
      <c r="J13" s="459"/>
      <c r="K13" s="459"/>
      <c r="L13" s="460"/>
      <c r="N13" s="221" t="s">
        <v>2</v>
      </c>
      <c r="O13" s="132" t="s">
        <v>2</v>
      </c>
      <c r="P13" s="133" t="s">
        <v>56</v>
      </c>
      <c r="Q13" s="152" t="s">
        <v>57</v>
      </c>
    </row>
    <row r="14" spans="1:17" ht="15.75" thickBot="1" x14ac:dyDescent="0.3">
      <c r="A14" s="149">
        <v>4</v>
      </c>
      <c r="B14" s="66"/>
      <c r="C14" s="8"/>
      <c r="D14" s="89"/>
      <c r="E14" s="56">
        <f t="shared" si="0"/>
        <v>0</v>
      </c>
      <c r="F14" s="2">
        <f t="shared" si="1"/>
        <v>0</v>
      </c>
      <c r="G14" s="2">
        <f>B14*(D14-C24)^2</f>
        <v>0</v>
      </c>
      <c r="H14" s="57">
        <f>B14*(C14-C23)^2</f>
        <v>0</v>
      </c>
      <c r="I14" s="458">
        <f>IFERROR(J26*(D14-C24)/C25-I26*(C14-C23)/C26,0)</f>
        <v>0</v>
      </c>
      <c r="J14" s="459"/>
      <c r="K14" s="459"/>
      <c r="L14" s="460"/>
      <c r="N14" s="157">
        <v>0</v>
      </c>
      <c r="O14" s="222">
        <v>0.08</v>
      </c>
      <c r="P14" s="222">
        <f>2*PI()*N14*O14</f>
        <v>0</v>
      </c>
      <c r="Q14" s="135">
        <f>PI()*N14^3*O14</f>
        <v>0</v>
      </c>
    </row>
    <row r="15" spans="1:17" ht="15.75" thickTop="1" x14ac:dyDescent="0.25">
      <c r="A15" s="149">
        <v>5</v>
      </c>
      <c r="B15" s="66"/>
      <c r="C15" s="8"/>
      <c r="D15" s="89"/>
      <c r="E15" s="56">
        <f t="shared" si="0"/>
        <v>0</v>
      </c>
      <c r="F15" s="2">
        <f t="shared" si="1"/>
        <v>0</v>
      </c>
      <c r="G15" s="2">
        <f>B15*(D15-C24)^2</f>
        <v>0</v>
      </c>
      <c r="H15" s="57">
        <f>B15*(C15-C23)^2</f>
        <v>0</v>
      </c>
      <c r="I15" s="458">
        <f>IFERROR(J26*(D15-C24)/C25-I26*(C15-C23)/C26,0)</f>
        <v>0</v>
      </c>
      <c r="J15" s="459"/>
      <c r="K15" s="459"/>
      <c r="L15" s="460"/>
    </row>
    <row r="16" spans="1:17" x14ac:dyDescent="0.25">
      <c r="A16" s="166">
        <v>6</v>
      </c>
      <c r="B16" s="66"/>
      <c r="C16" s="8"/>
      <c r="D16" s="89"/>
      <c r="E16" s="56">
        <f t="shared" si="0"/>
        <v>0</v>
      </c>
      <c r="F16" s="2">
        <f t="shared" si="1"/>
        <v>0</v>
      </c>
      <c r="G16" s="2">
        <f>B16*(D16-C24)^2</f>
        <v>0</v>
      </c>
      <c r="H16" s="57">
        <f>B16*(C16-C23)^2</f>
        <v>0</v>
      </c>
      <c r="I16" s="458">
        <f>IFERROR(J26*(D16-C24)/C25-I26*(C16-C23)/C26,0)</f>
        <v>0</v>
      </c>
      <c r="J16" s="459"/>
      <c r="K16" s="459"/>
      <c r="L16" s="460"/>
    </row>
    <row r="17" spans="1:18" x14ac:dyDescent="0.25">
      <c r="A17" s="213">
        <v>7</v>
      </c>
      <c r="B17" s="66"/>
      <c r="C17" s="8"/>
      <c r="D17" s="100"/>
      <c r="E17" s="219">
        <f t="shared" si="0"/>
        <v>0</v>
      </c>
      <c r="F17" s="3">
        <f t="shared" si="1"/>
        <v>0</v>
      </c>
      <c r="G17" s="3">
        <f>B17*(D17-C24)^2</f>
        <v>0</v>
      </c>
      <c r="H17" s="218">
        <f>B17*(C17-C23)^2</f>
        <v>0</v>
      </c>
      <c r="I17" s="458">
        <f>IFERROR(J26*(D17-C24)/C25-I26*(C17-C23)/C26,0)</f>
        <v>0</v>
      </c>
      <c r="J17" s="459"/>
      <c r="K17" s="459"/>
      <c r="L17" s="460"/>
    </row>
    <row r="18" spans="1:18" x14ac:dyDescent="0.25">
      <c r="A18" s="215">
        <v>8</v>
      </c>
      <c r="B18" s="66"/>
      <c r="C18" s="8"/>
      <c r="D18" s="100"/>
      <c r="E18" s="56">
        <f t="shared" si="0"/>
        <v>0</v>
      </c>
      <c r="F18" s="2">
        <f t="shared" si="1"/>
        <v>0</v>
      </c>
      <c r="G18" s="3">
        <f>B18*(D18-C24)^2</f>
        <v>0</v>
      </c>
      <c r="H18" s="218">
        <f>B18*(C18-C23)^2</f>
        <v>0</v>
      </c>
      <c r="I18" s="458">
        <f>IFERROR(J26*(D18-C24)/C25-I26*(C18-C23)/C26,0)</f>
        <v>0</v>
      </c>
      <c r="J18" s="459"/>
      <c r="K18" s="459"/>
      <c r="L18" s="460"/>
    </row>
    <row r="19" spans="1:18" ht="15.75" thickBot="1" x14ac:dyDescent="0.3">
      <c r="A19" s="214">
        <v>9</v>
      </c>
      <c r="B19" s="66"/>
      <c r="C19" s="212"/>
      <c r="D19" s="174"/>
      <c r="E19" s="137">
        <f t="shared" si="0"/>
        <v>0</v>
      </c>
      <c r="F19" s="5">
        <f t="shared" si="1"/>
        <v>0</v>
      </c>
      <c r="G19" s="2">
        <f>B19*(D19-C24)^2</f>
        <v>0</v>
      </c>
      <c r="H19" s="57">
        <f>B19*(C19-C23)^2</f>
        <v>0</v>
      </c>
      <c r="I19" s="458">
        <f>IFERROR(J26*(D19-C24)/C25-I26*(C19-C23)/C26,0)</f>
        <v>0</v>
      </c>
      <c r="J19" s="459"/>
      <c r="K19" s="459"/>
      <c r="L19" s="460"/>
    </row>
    <row r="20" spans="1:18" ht="16.5" thickTop="1" thickBot="1" x14ac:dyDescent="0.3">
      <c r="A20" s="203"/>
      <c r="B20" s="220">
        <f>SUM(B11:B19)+P14</f>
        <v>0.2</v>
      </c>
      <c r="C20" s="201"/>
      <c r="D20" s="202"/>
      <c r="E20" s="216">
        <f>SUM(E11:E19)</f>
        <v>0</v>
      </c>
      <c r="F20" s="217">
        <f>SUM(F11:F19)</f>
        <v>1.6</v>
      </c>
      <c r="G20" s="217">
        <f>SUM(G11:G19)+Q14</f>
        <v>0</v>
      </c>
      <c r="H20" s="168">
        <f>SUM(H11:H19)+Q14</f>
        <v>0</v>
      </c>
      <c r="I20" s="206"/>
      <c r="J20" s="207"/>
      <c r="K20" s="207"/>
      <c r="L20" s="202"/>
    </row>
    <row r="21" spans="1:18" ht="20.25" thickTop="1" thickBot="1" x14ac:dyDescent="0.4">
      <c r="A21" s="204"/>
      <c r="B21" s="199" t="s">
        <v>69</v>
      </c>
      <c r="C21" s="205"/>
      <c r="D21" s="204"/>
      <c r="E21" s="200" t="s">
        <v>70</v>
      </c>
      <c r="F21" s="145" t="s">
        <v>71</v>
      </c>
      <c r="G21" s="145" t="s">
        <v>72</v>
      </c>
      <c r="H21" s="146" t="s">
        <v>74</v>
      </c>
      <c r="I21" s="205"/>
      <c r="J21" s="208"/>
      <c r="K21" s="209"/>
      <c r="L21" s="210"/>
    </row>
    <row r="22" spans="1:18" ht="16.5" thickTop="1" thickBot="1" x14ac:dyDescent="0.3"/>
    <row r="23" spans="1:18" ht="19.5" thickTop="1" thickBot="1" x14ac:dyDescent="0.4">
      <c r="A23" s="451" t="s">
        <v>76</v>
      </c>
      <c r="B23" s="420"/>
      <c r="C23" s="184">
        <f>IFERROR((E20/B20),0)</f>
        <v>0</v>
      </c>
      <c r="D23" s="211" t="s">
        <v>81</v>
      </c>
      <c r="G23" s="444" t="s">
        <v>91</v>
      </c>
      <c r="H23" s="445"/>
      <c r="I23" s="445"/>
      <c r="J23" s="445"/>
      <c r="K23" s="445"/>
      <c r="L23" s="410"/>
    </row>
    <row r="24" spans="1:18" ht="18.75" thickTop="1" x14ac:dyDescent="0.35">
      <c r="A24" s="452" t="s">
        <v>77</v>
      </c>
      <c r="B24" s="418"/>
      <c r="C24" s="185">
        <f>IFERROR((F20/B20),0)</f>
        <v>8</v>
      </c>
      <c r="D24" s="182" t="s">
        <v>81</v>
      </c>
      <c r="G24" s="162" t="s">
        <v>62</v>
      </c>
      <c r="H24" s="163" t="s">
        <v>63</v>
      </c>
      <c r="I24" s="164" t="s">
        <v>83</v>
      </c>
      <c r="J24" s="165" t="s">
        <v>84</v>
      </c>
      <c r="K24" s="148" t="s">
        <v>86</v>
      </c>
      <c r="L24" s="161" t="s">
        <v>82</v>
      </c>
      <c r="R24" s="4"/>
    </row>
    <row r="25" spans="1:18" ht="19.5" thickBot="1" x14ac:dyDescent="0.4">
      <c r="A25" s="441" t="s">
        <v>101</v>
      </c>
      <c r="B25" s="418"/>
      <c r="C25" s="185">
        <f>IFERROR(J20+G20,0)</f>
        <v>0</v>
      </c>
      <c r="D25" s="182" t="s">
        <v>80</v>
      </c>
      <c r="G25" s="158" t="s">
        <v>2</v>
      </c>
      <c r="H25" s="140" t="s">
        <v>2</v>
      </c>
      <c r="I25" s="187" t="s">
        <v>87</v>
      </c>
      <c r="J25" s="188" t="s">
        <v>87</v>
      </c>
      <c r="K25" s="189" t="s">
        <v>88</v>
      </c>
      <c r="L25" s="156" t="s">
        <v>85</v>
      </c>
    </row>
    <row r="26" spans="1:18" ht="20.25" thickTop="1" thickBot="1" x14ac:dyDescent="0.4">
      <c r="A26" s="442" t="s">
        <v>102</v>
      </c>
      <c r="B26" s="443"/>
      <c r="C26" s="186">
        <f>IFERROR(L20+H20,0)</f>
        <v>0</v>
      </c>
      <c r="D26" s="183" t="s">
        <v>80</v>
      </c>
      <c r="G26" s="175">
        <v>0</v>
      </c>
      <c r="H26" s="176">
        <v>0</v>
      </c>
      <c r="I26" s="177">
        <v>0</v>
      </c>
      <c r="J26" s="178">
        <v>0</v>
      </c>
      <c r="K26" s="179">
        <v>3</v>
      </c>
      <c r="L26" s="180" t="e">
        <f>(K26/B20)+((J26*(H26-C24))/C25)-(IFERROR(I26*(G26-C23)/C26,0))</f>
        <v>#DIV/0!</v>
      </c>
    </row>
    <row r="27" spans="1:18" ht="15.75" thickTop="1" x14ac:dyDescent="0.25">
      <c r="I27" s="196" t="s">
        <v>94</v>
      </c>
      <c r="J27" s="197"/>
    </row>
  </sheetData>
  <mergeCells count="21">
    <mergeCell ref="A25:B25"/>
    <mergeCell ref="G23:L23"/>
    <mergeCell ref="A26:B26"/>
    <mergeCell ref="N11:Q11"/>
    <mergeCell ref="A1:C1"/>
    <mergeCell ref="A2:L7"/>
    <mergeCell ref="A8:L8"/>
    <mergeCell ref="A9:A10"/>
    <mergeCell ref="I15:L15"/>
    <mergeCell ref="I16:L16"/>
    <mergeCell ref="I17:L17"/>
    <mergeCell ref="A23:B23"/>
    <mergeCell ref="A24:B24"/>
    <mergeCell ref="I9:L9"/>
    <mergeCell ref="I10:L10"/>
    <mergeCell ref="I11:L11"/>
    <mergeCell ref="I12:L12"/>
    <mergeCell ref="I13:L13"/>
    <mergeCell ref="I14:L14"/>
    <mergeCell ref="I18:L18"/>
    <mergeCell ref="I19:L19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FA20-B287-46C3-AA44-022E0EF27A0D}">
  <dimension ref="A1:S28"/>
  <sheetViews>
    <sheetView workbookViewId="0">
      <selection activeCell="B12" sqref="B12"/>
    </sheetView>
  </sheetViews>
  <sheetFormatPr defaultRowHeight="15" x14ac:dyDescent="0.25"/>
  <cols>
    <col min="7" max="7" width="10" customWidth="1"/>
    <col min="12" max="12" width="11.42578125" customWidth="1"/>
    <col min="14" max="14" width="11.42578125" customWidth="1"/>
  </cols>
  <sheetData>
    <row r="1" spans="1:19" ht="20.25" thickTop="1" thickBot="1" x14ac:dyDescent="0.35">
      <c r="A1" s="448" t="s">
        <v>135</v>
      </c>
      <c r="B1" s="478"/>
      <c r="C1" s="479"/>
      <c r="D1" s="110"/>
    </row>
    <row r="2" spans="1:19" ht="15.75" thickTop="1" x14ac:dyDescent="0.25">
      <c r="A2" s="480"/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</row>
    <row r="3" spans="1:19" x14ac:dyDescent="0.25">
      <c r="A3" s="446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</row>
    <row r="4" spans="1:19" x14ac:dyDescent="0.25">
      <c r="A4" s="446"/>
      <c r="B4" s="446"/>
      <c r="C4" s="446"/>
      <c r="D4" s="446"/>
      <c r="E4" s="446"/>
      <c r="F4" s="446"/>
      <c r="G4" s="446"/>
      <c r="H4" s="446"/>
      <c r="I4" s="446"/>
      <c r="J4" s="446"/>
      <c r="K4" s="446"/>
      <c r="L4" s="446"/>
    </row>
    <row r="5" spans="1:19" x14ac:dyDescent="0.25">
      <c r="A5" s="446"/>
      <c r="B5" s="446"/>
      <c r="C5" s="446"/>
      <c r="D5" s="446"/>
      <c r="E5" s="446"/>
      <c r="F5" s="446"/>
      <c r="G5" s="446"/>
      <c r="H5" s="446"/>
      <c r="I5" s="446"/>
      <c r="J5" s="446"/>
      <c r="K5" s="446"/>
      <c r="L5" s="446"/>
    </row>
    <row r="6" spans="1:19" x14ac:dyDescent="0.25">
      <c r="A6" s="446"/>
      <c r="B6" s="446"/>
      <c r="C6" s="446"/>
      <c r="D6" s="446"/>
      <c r="E6" s="446"/>
      <c r="F6" s="446"/>
      <c r="G6" s="446"/>
      <c r="H6" s="446"/>
      <c r="I6" s="446"/>
      <c r="J6" s="446"/>
      <c r="K6" s="446"/>
      <c r="L6" s="446"/>
    </row>
    <row r="7" spans="1:19" x14ac:dyDescent="0.25">
      <c r="A7" s="446"/>
      <c r="B7" s="446"/>
      <c r="C7" s="446"/>
      <c r="D7" s="446"/>
      <c r="E7" s="446"/>
      <c r="F7" s="446"/>
      <c r="G7" s="446"/>
      <c r="H7" s="446"/>
      <c r="I7" s="446"/>
      <c r="J7" s="446"/>
      <c r="K7" s="446"/>
      <c r="L7" s="446"/>
    </row>
    <row r="8" spans="1:19" x14ac:dyDescent="0.25">
      <c r="A8" s="481" t="s">
        <v>118</v>
      </c>
      <c r="B8" s="482"/>
      <c r="C8" s="482"/>
      <c r="D8" s="482"/>
      <c r="E8" s="482"/>
      <c r="F8" s="482"/>
      <c r="G8" s="482"/>
      <c r="H8" s="482"/>
      <c r="I8" s="482"/>
      <c r="J8" s="482"/>
      <c r="K8" s="482"/>
      <c r="L8" s="482"/>
      <c r="M8" s="438"/>
      <c r="N8" s="409"/>
    </row>
    <row r="9" spans="1:19" x14ac:dyDescent="0.25">
      <c r="A9" s="483" t="s">
        <v>113</v>
      </c>
      <c r="B9" s="484"/>
      <c r="C9" s="484"/>
      <c r="D9" s="484"/>
      <c r="E9" s="484"/>
      <c r="F9" s="485"/>
      <c r="G9" s="239" t="s">
        <v>114</v>
      </c>
      <c r="H9" s="483" t="s">
        <v>115</v>
      </c>
      <c r="I9" s="486"/>
      <c r="J9" s="487"/>
      <c r="K9" s="484" t="s">
        <v>116</v>
      </c>
      <c r="L9" s="485"/>
      <c r="M9" s="483" t="s">
        <v>117</v>
      </c>
      <c r="N9" s="485"/>
    </row>
    <row r="10" spans="1:19" ht="15" customHeight="1" x14ac:dyDescent="0.25">
      <c r="A10" s="488" t="s">
        <v>59</v>
      </c>
      <c r="B10" s="473" t="s">
        <v>122</v>
      </c>
      <c r="C10" s="465" t="s">
        <v>123</v>
      </c>
      <c r="D10" s="465" t="s">
        <v>124</v>
      </c>
      <c r="E10" s="465" t="s">
        <v>125</v>
      </c>
      <c r="F10" s="469" t="s">
        <v>126</v>
      </c>
      <c r="G10" s="471" t="s">
        <v>127</v>
      </c>
      <c r="H10" s="473" t="s">
        <v>128</v>
      </c>
      <c r="I10" s="475" t="s">
        <v>105</v>
      </c>
      <c r="J10" s="476" t="s">
        <v>119</v>
      </c>
      <c r="K10" s="477" t="s">
        <v>120</v>
      </c>
      <c r="L10" s="469" t="s">
        <v>133</v>
      </c>
      <c r="M10" s="467" t="s">
        <v>121</v>
      </c>
      <c r="N10" s="469" t="s">
        <v>134</v>
      </c>
    </row>
    <row r="11" spans="1:19" ht="17.25" customHeight="1" thickBot="1" x14ac:dyDescent="0.3">
      <c r="A11" s="489"/>
      <c r="B11" s="474"/>
      <c r="C11" s="466"/>
      <c r="D11" s="466"/>
      <c r="E11" s="466"/>
      <c r="F11" s="470"/>
      <c r="G11" s="472"/>
      <c r="H11" s="474"/>
      <c r="I11" s="466"/>
      <c r="J11" s="470"/>
      <c r="K11" s="474"/>
      <c r="L11" s="470"/>
      <c r="M11" s="468"/>
      <c r="N11" s="470"/>
    </row>
    <row r="12" spans="1:19" ht="15.75" thickTop="1" x14ac:dyDescent="0.25">
      <c r="A12" s="148">
        <v>1</v>
      </c>
      <c r="B12" s="231">
        <v>2</v>
      </c>
      <c r="C12" s="7">
        <v>0.2</v>
      </c>
      <c r="D12" s="7"/>
      <c r="E12" s="7">
        <v>2.9</v>
      </c>
      <c r="F12" s="242"/>
      <c r="G12" s="244" t="e">
        <f>F12/MIN(F12:F20)</f>
        <v>#DIV/0!</v>
      </c>
      <c r="H12" s="233" t="e">
        <f>G12*B12*C12</f>
        <v>#DIV/0!</v>
      </c>
      <c r="I12" s="235" t="e">
        <f>H12*D12</f>
        <v>#DIV/0!</v>
      </c>
      <c r="J12" s="230" t="e">
        <f>H12*E12</f>
        <v>#DIV/0!</v>
      </c>
      <c r="K12" s="237" t="e">
        <f>H12*(E12-C25)^2</f>
        <v>#DIV/0!</v>
      </c>
      <c r="L12" s="230" t="e">
        <f>G12*B12*C12^3/12</f>
        <v>#DIV/0!</v>
      </c>
      <c r="M12" s="233" t="e">
        <f>H12*(D12-C24)^2</f>
        <v>#DIV/0!</v>
      </c>
      <c r="N12" s="151" t="e">
        <f>G12*C12*B12^3/12</f>
        <v>#DIV/0!</v>
      </c>
    </row>
    <row r="13" spans="1:19" x14ac:dyDescent="0.25">
      <c r="A13" s="149">
        <v>2</v>
      </c>
      <c r="B13" s="172">
        <v>0.1</v>
      </c>
      <c r="C13" s="8">
        <v>1.3</v>
      </c>
      <c r="D13" s="8"/>
      <c r="E13" s="8">
        <v>2.15</v>
      </c>
      <c r="F13" s="242"/>
      <c r="G13" s="244" t="e">
        <f>F13/MIN(F12:F20)</f>
        <v>#DIV/0!</v>
      </c>
      <c r="H13" s="233" t="e">
        <f t="shared" ref="H13:H20" si="0">G13*B13*C13</f>
        <v>#DIV/0!</v>
      </c>
      <c r="I13" s="235" t="e">
        <f t="shared" ref="I13:I20" si="1">H13*D13</f>
        <v>#DIV/0!</v>
      </c>
      <c r="J13" s="230" t="e">
        <f t="shared" ref="J13:J20" si="2">H13*E13</f>
        <v>#DIV/0!</v>
      </c>
      <c r="K13" s="237" t="e">
        <f>H13*(E13-C25)^2</f>
        <v>#DIV/0!</v>
      </c>
      <c r="L13" s="230" t="e">
        <f t="shared" ref="L13:L20" si="3">G13*B13*C13^3/12</f>
        <v>#DIV/0!</v>
      </c>
      <c r="M13" s="233" t="e">
        <f>H13*(D13-C24)^2</f>
        <v>#DIV/0!</v>
      </c>
      <c r="N13" s="151" t="e">
        <f t="shared" ref="N13:N20" si="4">G13*C13*B13^3/12</f>
        <v>#DIV/0!</v>
      </c>
    </row>
    <row r="14" spans="1:19" x14ac:dyDescent="0.25">
      <c r="A14" s="149">
        <v>3</v>
      </c>
      <c r="B14" s="172">
        <v>0.1</v>
      </c>
      <c r="C14" s="8">
        <v>1.3</v>
      </c>
      <c r="D14" s="8"/>
      <c r="E14" s="8">
        <v>0.85</v>
      </c>
      <c r="F14" s="242"/>
      <c r="G14" s="244" t="e">
        <f>F14/MIN(F12:F20)</f>
        <v>#DIV/0!</v>
      </c>
      <c r="H14" s="233" t="e">
        <f t="shared" si="0"/>
        <v>#DIV/0!</v>
      </c>
      <c r="I14" s="235" t="e">
        <f t="shared" si="1"/>
        <v>#DIV/0!</v>
      </c>
      <c r="J14" s="230" t="e">
        <f t="shared" si="2"/>
        <v>#DIV/0!</v>
      </c>
      <c r="K14" s="237" t="e">
        <f>H14*(E14-C25)^2</f>
        <v>#DIV/0!</v>
      </c>
      <c r="L14" s="230" t="e">
        <f t="shared" si="3"/>
        <v>#DIV/0!</v>
      </c>
      <c r="M14" s="233" t="e">
        <f>H14*(D14-C24)^2</f>
        <v>#DIV/0!</v>
      </c>
      <c r="N14" s="151" t="e">
        <f t="shared" si="4"/>
        <v>#DIV/0!</v>
      </c>
      <c r="P14" s="4"/>
      <c r="Q14" s="4"/>
      <c r="R14" s="4"/>
      <c r="S14" s="4"/>
    </row>
    <row r="15" spans="1:19" x14ac:dyDescent="0.25">
      <c r="A15" s="149">
        <v>4</v>
      </c>
      <c r="B15" s="172">
        <v>2</v>
      </c>
      <c r="C15" s="8">
        <v>0.2</v>
      </c>
      <c r="D15" s="8"/>
      <c r="E15" s="8">
        <v>0.1</v>
      </c>
      <c r="F15" s="243"/>
      <c r="G15" s="244" t="e">
        <f>F15/MIN(F12:F20)</f>
        <v>#DIV/0!</v>
      </c>
      <c r="H15" s="233" t="e">
        <f t="shared" si="0"/>
        <v>#DIV/0!</v>
      </c>
      <c r="I15" s="235" t="e">
        <f t="shared" si="1"/>
        <v>#DIV/0!</v>
      </c>
      <c r="J15" s="230" t="e">
        <f t="shared" si="2"/>
        <v>#DIV/0!</v>
      </c>
      <c r="K15" s="237" t="e">
        <f>H15*(E15-C25)^2</f>
        <v>#DIV/0!</v>
      </c>
      <c r="L15" s="230" t="e">
        <f t="shared" si="3"/>
        <v>#DIV/0!</v>
      </c>
      <c r="M15" s="233" t="e">
        <f>H15*(D15-C24)^2</f>
        <v>#DIV/0!</v>
      </c>
      <c r="N15" s="151" t="e">
        <f t="shared" si="4"/>
        <v>#DIV/0!</v>
      </c>
      <c r="P15" s="142"/>
      <c r="Q15" s="4"/>
      <c r="R15" s="4"/>
      <c r="S15" s="4"/>
    </row>
    <row r="16" spans="1:19" x14ac:dyDescent="0.25">
      <c r="A16" s="149">
        <v>5</v>
      </c>
      <c r="B16" s="172"/>
      <c r="C16" s="8"/>
      <c r="D16" s="8"/>
      <c r="E16" s="8"/>
      <c r="F16" s="243"/>
      <c r="G16" s="244" t="e">
        <f>F16/MIN(F12:F20)</f>
        <v>#DIV/0!</v>
      </c>
      <c r="H16" s="233" t="e">
        <f t="shared" si="0"/>
        <v>#DIV/0!</v>
      </c>
      <c r="I16" s="235" t="e">
        <f t="shared" si="1"/>
        <v>#DIV/0!</v>
      </c>
      <c r="J16" s="230" t="e">
        <f t="shared" si="2"/>
        <v>#DIV/0!</v>
      </c>
      <c r="K16" s="237" t="e">
        <f>H16*(E16-C25)^2</f>
        <v>#DIV/0!</v>
      </c>
      <c r="L16" s="230" t="e">
        <f t="shared" si="3"/>
        <v>#DIV/0!</v>
      </c>
      <c r="M16" s="233" t="e">
        <f>H16*(D16-C24)^2</f>
        <v>#DIV/0!</v>
      </c>
      <c r="N16" s="151" t="e">
        <f t="shared" si="4"/>
        <v>#DIV/0!</v>
      </c>
      <c r="P16" s="4"/>
      <c r="Q16" s="4"/>
      <c r="R16" s="4"/>
      <c r="S16" s="4"/>
    </row>
    <row r="17" spans="1:19" x14ac:dyDescent="0.25">
      <c r="A17" s="149">
        <v>6</v>
      </c>
      <c r="B17" s="172"/>
      <c r="C17" s="8"/>
      <c r="D17" s="8"/>
      <c r="E17" s="8"/>
      <c r="F17" s="243"/>
      <c r="G17" s="244" t="e">
        <f>F17/MIN(F12:F20)</f>
        <v>#DIV/0!</v>
      </c>
      <c r="H17" s="233" t="e">
        <f t="shared" si="0"/>
        <v>#DIV/0!</v>
      </c>
      <c r="I17" s="235" t="e">
        <f t="shared" si="1"/>
        <v>#DIV/0!</v>
      </c>
      <c r="J17" s="230" t="e">
        <f t="shared" si="2"/>
        <v>#DIV/0!</v>
      </c>
      <c r="K17" s="237" t="e">
        <f>H17*(E17-C25)^2</f>
        <v>#DIV/0!</v>
      </c>
      <c r="L17" s="230" t="e">
        <f t="shared" si="3"/>
        <v>#DIV/0!</v>
      </c>
      <c r="M17" s="233" t="e">
        <f>H17*(D17-C24)^2</f>
        <v>#DIV/0!</v>
      </c>
      <c r="N17" s="151" t="e">
        <f t="shared" si="4"/>
        <v>#DIV/0!</v>
      </c>
      <c r="P17" s="4"/>
      <c r="Q17" s="4"/>
      <c r="R17" s="4"/>
      <c r="S17" s="4"/>
    </row>
    <row r="18" spans="1:19" x14ac:dyDescent="0.25">
      <c r="A18" s="215">
        <v>7</v>
      </c>
      <c r="B18" s="172"/>
      <c r="C18" s="8"/>
      <c r="D18" s="8"/>
      <c r="E18" s="8"/>
      <c r="F18" s="242"/>
      <c r="G18" s="244" t="e">
        <f>F18/MIN(F12:F20)</f>
        <v>#DIV/0!</v>
      </c>
      <c r="H18" s="233" t="e">
        <f t="shared" si="0"/>
        <v>#DIV/0!</v>
      </c>
      <c r="I18" s="235" t="e">
        <f t="shared" si="1"/>
        <v>#DIV/0!</v>
      </c>
      <c r="J18" s="230" t="e">
        <f t="shared" si="2"/>
        <v>#DIV/0!</v>
      </c>
      <c r="K18" s="237" t="e">
        <f>H18*(E18-C25)^2</f>
        <v>#DIV/0!</v>
      </c>
      <c r="L18" s="230" t="e">
        <f t="shared" si="3"/>
        <v>#DIV/0!</v>
      </c>
      <c r="M18" s="233" t="e">
        <f>H18*(D18-C24)^2</f>
        <v>#DIV/0!</v>
      </c>
      <c r="N18" s="151" t="e">
        <f t="shared" si="4"/>
        <v>#DIV/0!</v>
      </c>
      <c r="P18" s="4"/>
      <c r="Q18" s="4"/>
      <c r="R18" s="4"/>
      <c r="S18" s="4"/>
    </row>
    <row r="19" spans="1:19" x14ac:dyDescent="0.25">
      <c r="A19" s="215">
        <v>8</v>
      </c>
      <c r="B19" s="172"/>
      <c r="C19" s="8"/>
      <c r="D19" s="8"/>
      <c r="E19" s="8"/>
      <c r="F19" s="240"/>
      <c r="G19" s="244" t="e">
        <f>F19/MIN(F12:F20)</f>
        <v>#DIV/0!</v>
      </c>
      <c r="H19" s="233" t="e">
        <f t="shared" si="0"/>
        <v>#DIV/0!</v>
      </c>
      <c r="I19" s="235" t="e">
        <f t="shared" si="1"/>
        <v>#DIV/0!</v>
      </c>
      <c r="J19" s="230" t="e">
        <f t="shared" si="2"/>
        <v>#DIV/0!</v>
      </c>
      <c r="K19" s="237" t="e">
        <f>H19*(E19-C25)^2</f>
        <v>#DIV/0!</v>
      </c>
      <c r="L19" s="230" t="e">
        <f t="shared" si="3"/>
        <v>#DIV/0!</v>
      </c>
      <c r="M19" s="233" t="e">
        <f>H19*(D19-C24)^2</f>
        <v>#DIV/0!</v>
      </c>
      <c r="N19" s="151" t="e">
        <f t="shared" si="4"/>
        <v>#DIV/0!</v>
      </c>
      <c r="P19" s="4"/>
      <c r="Q19" s="4"/>
      <c r="R19" s="4"/>
      <c r="S19" s="4"/>
    </row>
    <row r="20" spans="1:19" ht="15.75" thickBot="1" x14ac:dyDescent="0.3">
      <c r="A20" s="214">
        <v>9</v>
      </c>
      <c r="B20" s="232"/>
      <c r="C20" s="212"/>
      <c r="D20" s="212"/>
      <c r="E20" s="212"/>
      <c r="F20" s="178"/>
      <c r="G20" s="244" t="e">
        <f>F20/MIN(F12:F20)</f>
        <v>#DIV/0!</v>
      </c>
      <c r="H20" s="233" t="e">
        <f t="shared" si="0"/>
        <v>#DIV/0!</v>
      </c>
      <c r="I20" s="235" t="e">
        <f t="shared" si="1"/>
        <v>#DIV/0!</v>
      </c>
      <c r="J20" s="230" t="e">
        <f t="shared" si="2"/>
        <v>#DIV/0!</v>
      </c>
      <c r="K20" s="237" t="e">
        <f>H20*(E20-C25)^2</f>
        <v>#DIV/0!</v>
      </c>
      <c r="L20" s="230" t="e">
        <f t="shared" si="3"/>
        <v>#DIV/0!</v>
      </c>
      <c r="M20" s="233" t="e">
        <f>H20*(D20-C24)^2</f>
        <v>#DIV/0!</v>
      </c>
      <c r="N20" s="151" t="e">
        <f t="shared" si="4"/>
        <v>#DIV/0!</v>
      </c>
      <c r="P20" s="4"/>
      <c r="Q20" s="142"/>
      <c r="R20" s="4"/>
      <c r="S20" s="4"/>
    </row>
    <row r="21" spans="1:19" ht="16.5" thickTop="1" thickBot="1" x14ac:dyDescent="0.3">
      <c r="A21" s="227"/>
      <c r="B21" s="224"/>
      <c r="C21" s="26"/>
      <c r="D21" s="26"/>
      <c r="E21" s="4"/>
      <c r="F21" s="4"/>
      <c r="G21" s="229"/>
      <c r="H21" s="234" t="e">
        <f t="shared" ref="H21:L21" si="5">SUM(H12:H20)</f>
        <v>#DIV/0!</v>
      </c>
      <c r="I21" s="228" t="e">
        <f t="shared" si="5"/>
        <v>#DIV/0!</v>
      </c>
      <c r="J21" s="241" t="e">
        <f t="shared" si="5"/>
        <v>#DIV/0!</v>
      </c>
      <c r="K21" s="228" t="e">
        <f t="shared" si="5"/>
        <v>#DIV/0!</v>
      </c>
      <c r="L21" s="241" t="e">
        <f t="shared" si="5"/>
        <v>#DIV/0!</v>
      </c>
      <c r="M21" s="228" t="e">
        <f>SUM(M12:M20)</f>
        <v>#DIV/0!</v>
      </c>
      <c r="N21" s="241" t="e">
        <f>SUM(N12:N20)</f>
        <v>#DIV/0!</v>
      </c>
      <c r="P21" s="4"/>
      <c r="Q21" s="4"/>
      <c r="R21" s="4"/>
      <c r="S21" s="4"/>
    </row>
    <row r="22" spans="1:19" ht="20.25" thickTop="1" thickBot="1" x14ac:dyDescent="0.4">
      <c r="A22" s="223"/>
      <c r="B22" s="28"/>
      <c r="C22" s="26"/>
      <c r="D22" s="26"/>
      <c r="E22" s="142"/>
      <c r="F22" s="142"/>
      <c r="G22" s="226"/>
      <c r="H22" s="187" t="s">
        <v>106</v>
      </c>
      <c r="I22" s="236" t="s">
        <v>107</v>
      </c>
      <c r="J22" s="188" t="s">
        <v>108</v>
      </c>
      <c r="K22" s="187" t="s">
        <v>109</v>
      </c>
      <c r="L22" s="188" t="s">
        <v>110</v>
      </c>
      <c r="M22" s="238" t="s">
        <v>111</v>
      </c>
      <c r="N22" s="225" t="s">
        <v>112</v>
      </c>
      <c r="P22" s="4"/>
      <c r="Q22" s="4"/>
      <c r="R22" s="4"/>
      <c r="S22" s="4"/>
    </row>
    <row r="23" spans="1:19" ht="16.5" thickTop="1" thickBot="1" x14ac:dyDescent="0.3">
      <c r="A23" s="154"/>
      <c r="G23" s="4"/>
    </row>
    <row r="24" spans="1:19" ht="19.5" thickTop="1" thickBot="1" x14ac:dyDescent="0.4">
      <c r="A24" s="451" t="s">
        <v>130</v>
      </c>
      <c r="B24" s="420"/>
      <c r="C24" s="184">
        <f>IFERROR(I21/H21,0)</f>
        <v>0</v>
      </c>
      <c r="D24" s="211" t="s">
        <v>81</v>
      </c>
      <c r="G24" s="444" t="s">
        <v>91</v>
      </c>
      <c r="H24" s="445"/>
      <c r="I24" s="445"/>
      <c r="J24" s="445"/>
      <c r="K24" s="445"/>
      <c r="L24" s="410"/>
    </row>
    <row r="25" spans="1:19" ht="18.75" thickTop="1" x14ac:dyDescent="0.35">
      <c r="A25" s="452" t="s">
        <v>129</v>
      </c>
      <c r="B25" s="418"/>
      <c r="C25" s="185">
        <f>IFERROR(J21/H21,0)</f>
        <v>0</v>
      </c>
      <c r="D25" s="182" t="s">
        <v>81</v>
      </c>
      <c r="G25" s="162" t="s">
        <v>62</v>
      </c>
      <c r="H25" s="163" t="s">
        <v>63</v>
      </c>
      <c r="I25" s="164" t="s">
        <v>83</v>
      </c>
      <c r="J25" s="165" t="s">
        <v>84</v>
      </c>
      <c r="K25" s="148" t="s">
        <v>86</v>
      </c>
      <c r="L25" s="161" t="s">
        <v>82</v>
      </c>
    </row>
    <row r="26" spans="1:19" ht="19.5" thickBot="1" x14ac:dyDescent="0.4">
      <c r="A26" s="441" t="s">
        <v>132</v>
      </c>
      <c r="B26" s="418"/>
      <c r="C26" s="185">
        <f>IFERROR(L21+K21,0)</f>
        <v>0</v>
      </c>
      <c r="D26" s="182" t="s">
        <v>80</v>
      </c>
      <c r="G26" s="158" t="s">
        <v>2</v>
      </c>
      <c r="H26" s="140" t="s">
        <v>2</v>
      </c>
      <c r="I26" s="187" t="s">
        <v>87</v>
      </c>
      <c r="J26" s="188" t="s">
        <v>87</v>
      </c>
      <c r="K26" s="189" t="s">
        <v>88</v>
      </c>
      <c r="L26" s="156" t="s">
        <v>85</v>
      </c>
    </row>
    <row r="27" spans="1:19" ht="20.25" thickTop="1" thickBot="1" x14ac:dyDescent="0.4">
      <c r="A27" s="442" t="s">
        <v>131</v>
      </c>
      <c r="B27" s="443"/>
      <c r="C27" s="186">
        <f>IFERROR(N21+M21,0)</f>
        <v>0</v>
      </c>
      <c r="D27" s="183" t="s">
        <v>80</v>
      </c>
      <c r="G27" s="175">
        <v>0</v>
      </c>
      <c r="H27" s="176">
        <v>0</v>
      </c>
      <c r="I27" s="177"/>
      <c r="J27" s="178">
        <v>0</v>
      </c>
      <c r="K27" s="179">
        <v>0</v>
      </c>
      <c r="L27" s="180" t="e">
        <f>(K27/B21)+((J27*(H27-C25))/C26)-((I27*(G27-C24))/C27)</f>
        <v>#DIV/0!</v>
      </c>
    </row>
    <row r="28" spans="1:19" ht="15.75" thickTop="1" x14ac:dyDescent="0.25"/>
  </sheetData>
  <mergeCells count="26">
    <mergeCell ref="A26:B26"/>
    <mergeCell ref="A27:B27"/>
    <mergeCell ref="A1:C1"/>
    <mergeCell ref="A2:L7"/>
    <mergeCell ref="A8:N8"/>
    <mergeCell ref="A9:F9"/>
    <mergeCell ref="H9:J9"/>
    <mergeCell ref="K9:L9"/>
    <mergeCell ref="M9:N9"/>
    <mergeCell ref="A24:B24"/>
    <mergeCell ref="G24:L24"/>
    <mergeCell ref="A25:B25"/>
    <mergeCell ref="L10:L11"/>
    <mergeCell ref="A10:A11"/>
    <mergeCell ref="B10:B11"/>
    <mergeCell ref="C10:C11"/>
    <mergeCell ref="D10:D11"/>
    <mergeCell ref="E10:E11"/>
    <mergeCell ref="M10:M11"/>
    <mergeCell ref="N10:N11"/>
    <mergeCell ref="F10:F11"/>
    <mergeCell ref="G10:G11"/>
    <mergeCell ref="H10:H11"/>
    <mergeCell ref="I10:I11"/>
    <mergeCell ref="J10:J11"/>
    <mergeCell ref="K10:K1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E9A2-B706-450C-910C-99000F6F1ECE}">
  <dimension ref="A2:M19"/>
  <sheetViews>
    <sheetView workbookViewId="0">
      <selection activeCell="I27" sqref="I27"/>
    </sheetView>
  </sheetViews>
  <sheetFormatPr defaultRowHeight="15" x14ac:dyDescent="0.25"/>
  <sheetData>
    <row r="2" spans="1:13" ht="15.75" thickBot="1" x14ac:dyDescent="0.3"/>
    <row r="3" spans="1:13" ht="19.5" thickTop="1" x14ac:dyDescent="0.35">
      <c r="A3" s="251" t="s">
        <v>59</v>
      </c>
      <c r="B3" s="258" t="s">
        <v>145</v>
      </c>
      <c r="C3" s="256" t="s">
        <v>144</v>
      </c>
      <c r="D3" s="261" t="s">
        <v>143</v>
      </c>
      <c r="E3" s="261" t="s">
        <v>146</v>
      </c>
      <c r="F3" s="261" t="s">
        <v>147</v>
      </c>
      <c r="G3" s="261" t="s">
        <v>148</v>
      </c>
      <c r="H3" s="250" t="s">
        <v>149</v>
      </c>
      <c r="I3" s="263" t="s">
        <v>155</v>
      </c>
      <c r="K3" s="290" t="s">
        <v>0</v>
      </c>
      <c r="L3" s="291" t="s">
        <v>53</v>
      </c>
      <c r="M3" s="292" t="s">
        <v>158</v>
      </c>
    </row>
    <row r="4" spans="1:13" ht="18" thickBot="1" x14ac:dyDescent="0.3">
      <c r="A4" s="252"/>
      <c r="B4" s="259" t="s">
        <v>2</v>
      </c>
      <c r="C4" s="257" t="s">
        <v>2</v>
      </c>
      <c r="D4" s="260" t="s">
        <v>2</v>
      </c>
      <c r="E4" s="260" t="s">
        <v>142</v>
      </c>
      <c r="F4" s="260" t="s">
        <v>142</v>
      </c>
      <c r="G4" s="260" t="s">
        <v>9</v>
      </c>
      <c r="H4" s="245" t="s">
        <v>9</v>
      </c>
      <c r="I4" s="264" t="s">
        <v>47</v>
      </c>
      <c r="K4" s="288" t="s">
        <v>2</v>
      </c>
      <c r="L4" s="289" t="s">
        <v>2</v>
      </c>
      <c r="M4" s="287" t="s">
        <v>9</v>
      </c>
    </row>
    <row r="5" spans="1:13" ht="15.75" thickTop="1" x14ac:dyDescent="0.25">
      <c r="A5" s="273" t="s">
        <v>25</v>
      </c>
      <c r="B5" s="66">
        <v>0.2</v>
      </c>
      <c r="C5" s="8">
        <v>0</v>
      </c>
      <c r="D5" s="89">
        <v>8</v>
      </c>
      <c r="E5" s="271">
        <f>B5*C5</f>
        <v>0</v>
      </c>
      <c r="F5" s="271">
        <f>B5*D5</f>
        <v>1.6</v>
      </c>
      <c r="G5" s="271">
        <f>B5*(C5-B15)^2</f>
        <v>0</v>
      </c>
      <c r="H5" s="247">
        <f>B5*(D5-B16)^2</f>
        <v>3.2</v>
      </c>
      <c r="I5" s="284">
        <f>-G15*(D5-B16)*B5/B17</f>
        <v>-375</v>
      </c>
      <c r="K5" s="293"/>
      <c r="L5" s="294"/>
      <c r="M5" s="295">
        <f>K5*L5^3/12</f>
        <v>0</v>
      </c>
    </row>
    <row r="6" spans="1:13" x14ac:dyDescent="0.25">
      <c r="A6" s="274" t="s">
        <v>136</v>
      </c>
      <c r="B6" s="66">
        <v>0.2</v>
      </c>
      <c r="C6" s="8">
        <v>0</v>
      </c>
      <c r="D6" s="89">
        <v>0</v>
      </c>
      <c r="E6" s="272">
        <f t="shared" ref="E6:E12" si="0">B6*C6</f>
        <v>0</v>
      </c>
      <c r="F6" s="272">
        <f>B6*D6</f>
        <v>0</v>
      </c>
      <c r="G6" s="272">
        <f>B6*(C6-B15)^2</f>
        <v>0</v>
      </c>
      <c r="H6" s="246">
        <f>B6*(D6-B16)^2</f>
        <v>3.2</v>
      </c>
      <c r="I6" s="285">
        <f>-G15*(D6-B16)*B6/B17</f>
        <v>375</v>
      </c>
      <c r="K6" s="192"/>
      <c r="L6" s="2"/>
      <c r="M6" s="296">
        <f>K6*L6^3/12</f>
        <v>0</v>
      </c>
    </row>
    <row r="7" spans="1:13" x14ac:dyDescent="0.25">
      <c r="A7" s="274" t="s">
        <v>137</v>
      </c>
      <c r="B7" s="66"/>
      <c r="C7" s="8"/>
      <c r="D7" s="89"/>
      <c r="E7" s="272">
        <f>B7*C7</f>
        <v>0</v>
      </c>
      <c r="F7" s="272">
        <f t="shared" ref="F7:F12" si="1">B7*D7</f>
        <v>0</v>
      </c>
      <c r="G7" s="272">
        <f>B7*(C7-B15)^2</f>
        <v>0</v>
      </c>
      <c r="H7" s="246">
        <f>B7*(D7-B16)^2</f>
        <v>0</v>
      </c>
      <c r="I7" s="285">
        <f>-G15*(D7-B16)*B7/B17</f>
        <v>0</v>
      </c>
      <c r="K7" s="192"/>
      <c r="L7" s="2"/>
      <c r="M7" s="296">
        <f t="shared" ref="M7:M11" si="2">K7*L7^3/12</f>
        <v>0</v>
      </c>
    </row>
    <row r="8" spans="1:13" x14ac:dyDescent="0.25">
      <c r="A8" s="274" t="s">
        <v>138</v>
      </c>
      <c r="B8" s="66"/>
      <c r="C8" s="8"/>
      <c r="D8" s="89"/>
      <c r="E8" s="272">
        <f t="shared" si="0"/>
        <v>0</v>
      </c>
      <c r="F8" s="272">
        <f t="shared" si="1"/>
        <v>0</v>
      </c>
      <c r="G8" s="272">
        <f>B8*(C8-B15)^2</f>
        <v>0</v>
      </c>
      <c r="H8" s="246">
        <f>B8*(D8-B16)^2</f>
        <v>0</v>
      </c>
      <c r="I8" s="285">
        <f>-G15*(D8-B16)*B8/B17</f>
        <v>0</v>
      </c>
      <c r="K8" s="192"/>
      <c r="L8" s="2"/>
      <c r="M8" s="296">
        <f t="shared" si="2"/>
        <v>0</v>
      </c>
    </row>
    <row r="9" spans="1:13" x14ac:dyDescent="0.25">
      <c r="A9" s="274" t="s">
        <v>139</v>
      </c>
      <c r="B9" s="268"/>
      <c r="C9" s="269"/>
      <c r="D9" s="270"/>
      <c r="E9" s="272">
        <f t="shared" si="0"/>
        <v>0</v>
      </c>
      <c r="F9" s="272">
        <f t="shared" si="1"/>
        <v>0</v>
      </c>
      <c r="G9" s="272">
        <f>B9*(C9-B15)^2</f>
        <v>0</v>
      </c>
      <c r="H9" s="246">
        <f>B9*(D9-B16)^2</f>
        <v>0</v>
      </c>
      <c r="I9" s="285">
        <f>-G15*(D9-B16)*B9/B17</f>
        <v>0</v>
      </c>
      <c r="K9" s="192"/>
      <c r="L9" s="2"/>
      <c r="M9" s="296">
        <f t="shared" si="2"/>
        <v>0</v>
      </c>
    </row>
    <row r="10" spans="1:13" x14ac:dyDescent="0.25">
      <c r="A10" s="274" t="s">
        <v>140</v>
      </c>
      <c r="B10" s="268"/>
      <c r="C10" s="269"/>
      <c r="D10" s="270"/>
      <c r="E10" s="272">
        <f t="shared" si="0"/>
        <v>0</v>
      </c>
      <c r="F10" s="272">
        <f t="shared" si="1"/>
        <v>0</v>
      </c>
      <c r="G10" s="272">
        <f>B10*(C10-B15)^2</f>
        <v>0</v>
      </c>
      <c r="H10" s="246">
        <f>B10*(D10-B16)^2</f>
        <v>0</v>
      </c>
      <c r="I10" s="285">
        <f>-G15*(D10-B16)*B10/B17</f>
        <v>0</v>
      </c>
      <c r="K10" s="192"/>
      <c r="L10" s="2"/>
      <c r="M10" s="296">
        <f t="shared" si="2"/>
        <v>0</v>
      </c>
    </row>
    <row r="11" spans="1:13" x14ac:dyDescent="0.25">
      <c r="A11" s="274" t="s">
        <v>16</v>
      </c>
      <c r="B11" s="268"/>
      <c r="C11" s="269"/>
      <c r="D11" s="270"/>
      <c r="E11" s="272">
        <f t="shared" si="0"/>
        <v>0</v>
      </c>
      <c r="F11" s="272">
        <f t="shared" si="1"/>
        <v>0</v>
      </c>
      <c r="G11" s="272">
        <f>B11*(C11-B15)^2</f>
        <v>0</v>
      </c>
      <c r="H11" s="246">
        <f>B11*(D11-B16)^2</f>
        <v>0</v>
      </c>
      <c r="I11" s="285">
        <f>-G15*(D11-B16)*B11/B17</f>
        <v>0</v>
      </c>
      <c r="K11" s="192"/>
      <c r="L11" s="2"/>
      <c r="M11" s="296">
        <f t="shared" si="2"/>
        <v>0</v>
      </c>
    </row>
    <row r="12" spans="1:13" ht="15.75" thickBot="1" x14ac:dyDescent="0.3">
      <c r="A12" s="254" t="s">
        <v>141</v>
      </c>
      <c r="B12" s="265"/>
      <c r="C12" s="266"/>
      <c r="D12" s="267"/>
      <c r="E12" s="262">
        <f t="shared" si="0"/>
        <v>0</v>
      </c>
      <c r="F12" s="260">
        <f t="shared" si="1"/>
        <v>0</v>
      </c>
      <c r="G12" s="260">
        <f>B12*(C12-B15)^2</f>
        <v>0</v>
      </c>
      <c r="H12" s="245">
        <f>B12*(D12-B16)^2</f>
        <v>0</v>
      </c>
      <c r="I12" s="286">
        <f>-G15*(D12-B16)*B12/B17</f>
        <v>0</v>
      </c>
      <c r="K12" s="170"/>
      <c r="L12" s="134"/>
      <c r="M12" s="297">
        <f>K12*L12^3/12</f>
        <v>0</v>
      </c>
    </row>
    <row r="13" spans="1:13" ht="16.5" thickTop="1" thickBot="1" x14ac:dyDescent="0.3">
      <c r="A13" s="253" t="s">
        <v>150</v>
      </c>
      <c r="B13" s="255">
        <f>SUM(B5:B12)</f>
        <v>0.4</v>
      </c>
      <c r="C13" s="216"/>
      <c r="D13" s="217"/>
      <c r="E13" s="117">
        <f>SUM(E5:E12)</f>
        <v>0</v>
      </c>
      <c r="F13" s="217">
        <f>SUM(F5:F12)</f>
        <v>1.6</v>
      </c>
      <c r="G13" s="217">
        <f>SUM(G5:G12)</f>
        <v>0</v>
      </c>
      <c r="H13" s="249">
        <f>SUM(H5:H12)</f>
        <v>6.4</v>
      </c>
      <c r="I13" s="252"/>
      <c r="K13" s="255"/>
      <c r="L13" s="217"/>
      <c r="M13" s="249">
        <f>SUM(M5:M12)</f>
        <v>0</v>
      </c>
    </row>
    <row r="14" spans="1:13" ht="16.5" thickTop="1" thickBot="1" x14ac:dyDescent="0.3">
      <c r="A14" s="248"/>
    </row>
    <row r="15" spans="1:13" ht="19.5" thickTop="1" thickBot="1" x14ac:dyDescent="0.4">
      <c r="A15" s="273" t="s">
        <v>151</v>
      </c>
      <c r="B15" s="277">
        <f>E13/B13</f>
        <v>0</v>
      </c>
      <c r="C15" s="278" t="s">
        <v>81</v>
      </c>
      <c r="F15" s="283" t="s">
        <v>156</v>
      </c>
      <c r="G15" s="281">
        <v>3000</v>
      </c>
      <c r="H15" s="282" t="s">
        <v>157</v>
      </c>
    </row>
    <row r="16" spans="1:13" ht="15.75" thickTop="1" x14ac:dyDescent="0.25">
      <c r="A16" s="274" t="s">
        <v>152</v>
      </c>
      <c r="B16" s="279">
        <f>F13/B13</f>
        <v>4</v>
      </c>
      <c r="C16" s="280" t="s">
        <v>81</v>
      </c>
    </row>
    <row r="17" spans="1:3" ht="18.75" x14ac:dyDescent="0.35">
      <c r="A17" s="274" t="s">
        <v>153</v>
      </c>
      <c r="B17" s="279">
        <f>H13+M13</f>
        <v>6.4</v>
      </c>
      <c r="C17" s="280" t="s">
        <v>80</v>
      </c>
    </row>
    <row r="18" spans="1:3" ht="19.5" thickBot="1" x14ac:dyDescent="0.4">
      <c r="A18" s="254" t="s">
        <v>154</v>
      </c>
      <c r="B18" s="275">
        <f>G13</f>
        <v>0</v>
      </c>
      <c r="C18" s="276" t="s">
        <v>80</v>
      </c>
    </row>
    <row r="19" spans="1:3" ht="15.75" thickTop="1" x14ac:dyDescent="0.25">
      <c r="A19" s="248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158D-9786-48FF-9D66-268B64FC8DBC}">
  <dimension ref="A2:N57"/>
  <sheetViews>
    <sheetView workbookViewId="0">
      <selection activeCell="A15" sqref="A15"/>
    </sheetView>
  </sheetViews>
  <sheetFormatPr defaultRowHeight="15" x14ac:dyDescent="0.25"/>
  <cols>
    <col min="8" max="8" width="9.140625" customWidth="1"/>
    <col min="9" max="9" width="11.5703125" customWidth="1"/>
    <col min="11" max="11" width="11.28515625" customWidth="1"/>
    <col min="12" max="12" width="8.85546875" customWidth="1"/>
    <col min="13" max="13" width="10.7109375" customWidth="1"/>
  </cols>
  <sheetData>
    <row r="2" spans="1:13" ht="15.75" thickBot="1" x14ac:dyDescent="0.3">
      <c r="A2" s="154"/>
      <c r="B2" s="154"/>
      <c r="C2" s="154"/>
      <c r="D2" s="154"/>
      <c r="E2" s="154"/>
      <c r="F2" s="154"/>
      <c r="G2" s="154"/>
      <c r="H2" s="154"/>
      <c r="I2" s="154"/>
      <c r="J2" s="4"/>
    </row>
    <row r="3" spans="1:13" ht="16.5" thickTop="1" thickBot="1" x14ac:dyDescent="0.3">
      <c r="A3" s="491" t="s">
        <v>184</v>
      </c>
      <c r="B3" s="491"/>
      <c r="C3" s="491"/>
      <c r="D3" s="491"/>
      <c r="E3" s="491"/>
      <c r="F3" s="491"/>
      <c r="G3" s="491"/>
      <c r="H3" s="491"/>
      <c r="I3" s="491"/>
      <c r="J3" s="110"/>
    </row>
    <row r="4" spans="1:13" ht="18.75" thickTop="1" x14ac:dyDescent="0.35">
      <c r="A4" s="490" t="s">
        <v>59</v>
      </c>
      <c r="B4" s="258" t="s">
        <v>159</v>
      </c>
      <c r="C4" s="261" t="s">
        <v>160</v>
      </c>
      <c r="D4" s="261" t="s">
        <v>143</v>
      </c>
      <c r="E4" s="261" t="s">
        <v>145</v>
      </c>
      <c r="F4" s="309" t="s">
        <v>147</v>
      </c>
      <c r="G4" s="261" t="s">
        <v>161</v>
      </c>
      <c r="H4" s="261" t="s">
        <v>162</v>
      </c>
      <c r="I4" s="310" t="s">
        <v>163</v>
      </c>
    </row>
    <row r="5" spans="1:13" ht="18" thickBot="1" x14ac:dyDescent="0.3">
      <c r="A5" s="454"/>
      <c r="B5" s="259" t="s">
        <v>2</v>
      </c>
      <c r="C5" s="260" t="s">
        <v>2</v>
      </c>
      <c r="D5" s="260" t="s">
        <v>2</v>
      </c>
      <c r="E5" s="289" t="s">
        <v>28</v>
      </c>
      <c r="F5" s="217"/>
      <c r="G5" s="289" t="s">
        <v>10</v>
      </c>
      <c r="H5" s="289" t="s">
        <v>10</v>
      </c>
      <c r="I5" s="311" t="s">
        <v>12</v>
      </c>
    </row>
    <row r="6" spans="1:13" ht="15.75" thickTop="1" x14ac:dyDescent="0.25">
      <c r="A6" s="251">
        <v>1</v>
      </c>
      <c r="B6" s="301">
        <v>0.6</v>
      </c>
      <c r="C6" s="303">
        <v>2.1</v>
      </c>
      <c r="D6" s="303">
        <v>3.45</v>
      </c>
      <c r="E6" s="305">
        <f>B6*C6</f>
        <v>1.26</v>
      </c>
      <c r="F6">
        <f>E6*D6</f>
        <v>4.3470000000000004</v>
      </c>
      <c r="G6" s="303">
        <f>B19</f>
        <v>-45000</v>
      </c>
      <c r="H6" s="312">
        <f t="shared" ref="H6:H14" si="0">G6*E6</f>
        <v>-56700</v>
      </c>
      <c r="I6" s="69">
        <f t="shared" ref="I6:I14" si="1">-H6*(D6-B$18)</f>
        <v>59535.000000000015</v>
      </c>
      <c r="J6" s="492" t="s">
        <v>186</v>
      </c>
      <c r="K6" s="446"/>
      <c r="L6" s="446"/>
    </row>
    <row r="7" spans="1:13" x14ac:dyDescent="0.25">
      <c r="A7" s="300">
        <v>2</v>
      </c>
      <c r="B7" s="66">
        <v>0.6</v>
      </c>
      <c r="C7" s="8">
        <v>2.1</v>
      </c>
      <c r="D7" s="8">
        <v>1.35</v>
      </c>
      <c r="E7" s="2">
        <f>B7*C7</f>
        <v>1.26</v>
      </c>
      <c r="F7" s="3">
        <f>E7*D7</f>
        <v>1.7010000000000001</v>
      </c>
      <c r="G7" s="8">
        <f>B20</f>
        <v>76000</v>
      </c>
      <c r="H7" s="312">
        <f t="shared" si="0"/>
        <v>95760</v>
      </c>
      <c r="I7" s="69">
        <f t="shared" si="1"/>
        <v>100547.99999999999</v>
      </c>
      <c r="J7" s="492" t="s">
        <v>187</v>
      </c>
      <c r="K7" s="446"/>
      <c r="L7" s="446"/>
    </row>
    <row r="8" spans="1:13" x14ac:dyDescent="0.25">
      <c r="A8" s="300">
        <v>3</v>
      </c>
      <c r="B8" s="66">
        <v>2.8</v>
      </c>
      <c r="C8" s="8">
        <v>0.3</v>
      </c>
      <c r="D8" s="8">
        <v>0.15</v>
      </c>
      <c r="E8" s="2">
        <f>B8*C8</f>
        <v>0.84</v>
      </c>
      <c r="F8" s="3">
        <f>E8*D8</f>
        <v>0.126</v>
      </c>
      <c r="G8" s="8">
        <v>76000</v>
      </c>
      <c r="H8" s="312">
        <f t="shared" si="0"/>
        <v>63840</v>
      </c>
      <c r="I8" s="69">
        <f t="shared" si="1"/>
        <v>143640</v>
      </c>
      <c r="J8" s="492" t="s">
        <v>188</v>
      </c>
      <c r="K8" s="446"/>
      <c r="L8" s="446"/>
      <c r="M8" s="4"/>
    </row>
    <row r="9" spans="1:13" x14ac:dyDescent="0.25">
      <c r="A9" s="300">
        <v>4</v>
      </c>
      <c r="B9" s="66">
        <v>2.8</v>
      </c>
      <c r="C9" s="8">
        <v>0.3</v>
      </c>
      <c r="D9" s="8">
        <v>4.6500000000000004</v>
      </c>
      <c r="E9" s="2">
        <f>B9*C9</f>
        <v>0.84</v>
      </c>
      <c r="F9" s="2">
        <f>E9*D9</f>
        <v>3.9060000000000001</v>
      </c>
      <c r="G9" s="8">
        <v>-45000</v>
      </c>
      <c r="H9" s="312">
        <f t="shared" si="0"/>
        <v>-37800</v>
      </c>
      <c r="I9" s="69">
        <f t="shared" si="1"/>
        <v>85050.000000000015</v>
      </c>
    </row>
    <row r="10" spans="1:13" x14ac:dyDescent="0.25">
      <c r="A10" s="300">
        <v>5</v>
      </c>
      <c r="B10" s="66"/>
      <c r="C10" s="8"/>
      <c r="D10" s="8"/>
      <c r="E10" s="2">
        <f>B10*C10</f>
        <v>0</v>
      </c>
      <c r="F10" s="2">
        <f>E10*D10</f>
        <v>0</v>
      </c>
      <c r="G10" s="8"/>
      <c r="H10" s="312">
        <f t="shared" si="0"/>
        <v>0</v>
      </c>
      <c r="I10" s="69">
        <f t="shared" si="1"/>
        <v>0</v>
      </c>
    </row>
    <row r="11" spans="1:13" x14ac:dyDescent="0.25">
      <c r="A11" s="300">
        <v>6</v>
      </c>
      <c r="B11" s="302"/>
      <c r="C11" s="304"/>
      <c r="D11" s="304"/>
      <c r="E11" s="2">
        <f t="shared" ref="E11:E14" si="2">B11*C11</f>
        <v>0</v>
      </c>
      <c r="F11">
        <f t="shared" ref="F11:F14" si="3">E11*D11</f>
        <v>0</v>
      </c>
      <c r="G11" s="304"/>
      <c r="H11" s="312">
        <f t="shared" si="0"/>
        <v>0</v>
      </c>
      <c r="I11" s="69">
        <f t="shared" si="1"/>
        <v>0</v>
      </c>
      <c r="L11">
        <f>C6+ABS(B24)</f>
        <v>2.1</v>
      </c>
      <c r="M11">
        <f>C8+L12+L11/2</f>
        <v>3.45</v>
      </c>
    </row>
    <row r="12" spans="1:13" x14ac:dyDescent="0.25">
      <c r="A12" s="300">
        <v>7</v>
      </c>
      <c r="B12" s="66"/>
      <c r="C12" s="8"/>
      <c r="D12" s="8"/>
      <c r="E12" s="2">
        <f t="shared" si="2"/>
        <v>0</v>
      </c>
      <c r="F12" s="3">
        <f t="shared" si="3"/>
        <v>0</v>
      </c>
      <c r="G12" s="8"/>
      <c r="H12" s="312">
        <f t="shared" si="0"/>
        <v>0</v>
      </c>
      <c r="I12" s="69">
        <f t="shared" si="1"/>
        <v>0</v>
      </c>
      <c r="L12">
        <f>C7-ABS(B24)</f>
        <v>2.1</v>
      </c>
      <c r="M12">
        <f>C8+L12/2</f>
        <v>1.35</v>
      </c>
    </row>
    <row r="13" spans="1:13" x14ac:dyDescent="0.25">
      <c r="A13" s="300">
        <v>8</v>
      </c>
      <c r="B13" s="302"/>
      <c r="C13" s="304"/>
      <c r="D13" s="304"/>
      <c r="E13" s="2">
        <f t="shared" si="2"/>
        <v>0</v>
      </c>
      <c r="F13" s="2">
        <f t="shared" si="3"/>
        <v>0</v>
      </c>
      <c r="G13" s="304"/>
      <c r="H13" s="312">
        <f t="shared" si="0"/>
        <v>0</v>
      </c>
      <c r="I13" s="69">
        <f t="shared" si="1"/>
        <v>0</v>
      </c>
    </row>
    <row r="14" spans="1:13" ht="15.75" thickBot="1" x14ac:dyDescent="0.3">
      <c r="A14" s="254">
        <v>9</v>
      </c>
      <c r="B14" s="308"/>
      <c r="C14" s="61"/>
      <c r="D14" s="61"/>
      <c r="E14" s="134">
        <f t="shared" si="2"/>
        <v>0</v>
      </c>
      <c r="F14">
        <f t="shared" si="3"/>
        <v>0</v>
      </c>
      <c r="G14" s="61"/>
      <c r="H14" s="313">
        <f t="shared" si="0"/>
        <v>0</v>
      </c>
      <c r="I14" s="102">
        <f t="shared" si="1"/>
        <v>0</v>
      </c>
    </row>
    <row r="15" spans="1:13" ht="16.5" thickTop="1" thickBot="1" x14ac:dyDescent="0.3">
      <c r="A15" s="253" t="s">
        <v>150</v>
      </c>
      <c r="B15" s="306"/>
      <c r="C15" s="307"/>
      <c r="D15" s="307"/>
      <c r="E15" s="217">
        <f>SUM(E6:E14)</f>
        <v>4.2</v>
      </c>
      <c r="F15" s="117">
        <f>SUM(F6:F14)</f>
        <v>10.08</v>
      </c>
      <c r="G15" s="217"/>
      <c r="H15" s="307">
        <f>SUM(H6:H14)</f>
        <v>65100</v>
      </c>
      <c r="I15" s="241">
        <f>SUM(I6:I14)</f>
        <v>388773</v>
      </c>
    </row>
    <row r="16" spans="1:13" ht="15.75" thickTop="1" x14ac:dyDescent="0.25">
      <c r="C16" s="114"/>
    </row>
    <row r="17" spans="1:14" ht="15.75" thickBot="1" x14ac:dyDescent="0.3">
      <c r="A17" t="s">
        <v>103</v>
      </c>
    </row>
    <row r="18" spans="1:14" ht="18.75" thickTop="1" x14ac:dyDescent="0.35">
      <c r="A18" s="299" t="s">
        <v>165</v>
      </c>
      <c r="B18" s="315">
        <f>F15/E15</f>
        <v>2.4</v>
      </c>
      <c r="C18" s="278" t="s">
        <v>81</v>
      </c>
      <c r="E18" s="490" t="s">
        <v>59</v>
      </c>
      <c r="F18" s="258" t="s">
        <v>159</v>
      </c>
      <c r="G18" s="261" t="s">
        <v>160</v>
      </c>
      <c r="H18" s="261" t="s">
        <v>143</v>
      </c>
      <c r="I18" s="261" t="s">
        <v>145</v>
      </c>
      <c r="J18" s="309" t="s">
        <v>147</v>
      </c>
      <c r="K18" s="261" t="s">
        <v>161</v>
      </c>
      <c r="L18" s="261" t="s">
        <v>162</v>
      </c>
      <c r="M18" s="310" t="s">
        <v>163</v>
      </c>
      <c r="N18" s="110"/>
    </row>
    <row r="19" spans="1:14" ht="19.5" thickBot="1" x14ac:dyDescent="0.4">
      <c r="A19" s="318" t="s">
        <v>168</v>
      </c>
      <c r="B19" s="316">
        <v>-45000</v>
      </c>
      <c r="C19" s="280" t="s">
        <v>164</v>
      </c>
      <c r="E19" s="454"/>
      <c r="F19" s="259" t="s">
        <v>2</v>
      </c>
      <c r="G19" s="260" t="s">
        <v>2</v>
      </c>
      <c r="H19" s="260" t="s">
        <v>2</v>
      </c>
      <c r="I19" s="289" t="s">
        <v>28</v>
      </c>
      <c r="J19" s="217"/>
      <c r="K19" s="289" t="s">
        <v>10</v>
      </c>
      <c r="L19" s="289" t="s">
        <v>10</v>
      </c>
      <c r="M19" s="311" t="s">
        <v>12</v>
      </c>
    </row>
    <row r="20" spans="1:14" ht="18.75" thickTop="1" x14ac:dyDescent="0.35">
      <c r="A20" s="318" t="s">
        <v>169</v>
      </c>
      <c r="B20" s="316">
        <v>76000</v>
      </c>
      <c r="C20" s="280" t="s">
        <v>164</v>
      </c>
      <c r="E20" s="251">
        <v>1</v>
      </c>
      <c r="F20" s="66">
        <f>B6</f>
        <v>0.6</v>
      </c>
      <c r="G20" s="8">
        <f>L11</f>
        <v>2.1</v>
      </c>
      <c r="H20" s="8">
        <f>M11</f>
        <v>3.45</v>
      </c>
      <c r="I20" s="305">
        <f>F20*G20</f>
        <v>1.26</v>
      </c>
      <c r="J20">
        <f t="shared" ref="J20:J28" si="4">I20*H20</f>
        <v>4.3470000000000004</v>
      </c>
      <c r="K20" s="303">
        <v>-45000</v>
      </c>
      <c r="L20" s="312">
        <f t="shared" ref="L20:L28" si="5">K20*I20</f>
        <v>-56700</v>
      </c>
      <c r="M20" s="69">
        <f>-L20*(H20-B$18)</f>
        <v>59535.000000000015</v>
      </c>
    </row>
    <row r="21" spans="1:14" x14ac:dyDescent="0.25">
      <c r="A21" s="317" t="s">
        <v>1</v>
      </c>
      <c r="B21" s="316">
        <v>0.6</v>
      </c>
      <c r="C21" s="280" t="s">
        <v>81</v>
      </c>
      <c r="E21" s="300">
        <v>2</v>
      </c>
      <c r="F21" s="66">
        <f>B7</f>
        <v>0.6</v>
      </c>
      <c r="G21" s="8">
        <f>L12</f>
        <v>2.1</v>
      </c>
      <c r="H21" s="8">
        <f>M12</f>
        <v>1.35</v>
      </c>
      <c r="I21" s="2">
        <f>F21*G21</f>
        <v>1.26</v>
      </c>
      <c r="J21" s="3">
        <f t="shared" si="4"/>
        <v>1.7010000000000001</v>
      </c>
      <c r="K21" s="8">
        <v>76000</v>
      </c>
      <c r="L21" s="312">
        <f t="shared" si="5"/>
        <v>95760</v>
      </c>
      <c r="M21" s="69">
        <f t="shared" ref="M21:M28" si="6">-L21*(H21-B$18)</f>
        <v>100547.99999999999</v>
      </c>
    </row>
    <row r="22" spans="1:14" x14ac:dyDescent="0.25">
      <c r="A22" s="317" t="s">
        <v>166</v>
      </c>
      <c r="B22" s="319" t="s">
        <v>185</v>
      </c>
      <c r="C22" s="182"/>
      <c r="E22" s="300">
        <v>3</v>
      </c>
      <c r="F22" s="66">
        <f t="shared" ref="F22:F28" si="7">B8</f>
        <v>2.8</v>
      </c>
      <c r="G22" s="8">
        <f>C8</f>
        <v>0.3</v>
      </c>
      <c r="H22" s="8">
        <f>D8</f>
        <v>0.15</v>
      </c>
      <c r="I22" s="2">
        <f t="shared" ref="I22:I28" si="8">F22*G22</f>
        <v>0.84</v>
      </c>
      <c r="J22" s="3">
        <f t="shared" si="4"/>
        <v>0.126</v>
      </c>
      <c r="K22" s="8">
        <v>76000</v>
      </c>
      <c r="L22" s="312">
        <f t="shared" si="5"/>
        <v>63840</v>
      </c>
      <c r="M22" s="69">
        <f t="shared" si="6"/>
        <v>143640</v>
      </c>
    </row>
    <row r="23" spans="1:14" ht="15.75" thickBot="1" x14ac:dyDescent="0.3">
      <c r="A23" s="314" t="s">
        <v>167</v>
      </c>
      <c r="B23" s="275">
        <f>IF(B22="no",H15/(B21*(B19-B20)),IF(B22="yes","NA good!"," "))</f>
        <v>-0.89669421487603307</v>
      </c>
      <c r="C23" s="276" t="s">
        <v>81</v>
      </c>
      <c r="E23" s="300">
        <v>4</v>
      </c>
      <c r="F23" s="66">
        <f t="shared" si="7"/>
        <v>2.8</v>
      </c>
      <c r="G23" s="8">
        <f t="shared" ref="G23:G28" si="9">C9</f>
        <v>0.3</v>
      </c>
      <c r="H23" s="8">
        <f t="shared" ref="H23:H27" si="10">D9</f>
        <v>4.6500000000000004</v>
      </c>
      <c r="I23" s="2">
        <f t="shared" si="8"/>
        <v>0.84</v>
      </c>
      <c r="J23" s="2">
        <f t="shared" si="4"/>
        <v>3.9060000000000001</v>
      </c>
      <c r="K23" s="8">
        <v>-45000</v>
      </c>
      <c r="L23" s="312">
        <f t="shared" si="5"/>
        <v>-37800</v>
      </c>
      <c r="M23" s="69">
        <f t="shared" si="6"/>
        <v>85050.000000000015</v>
      </c>
    </row>
    <row r="24" spans="1:14" ht="15.75" thickTop="1" x14ac:dyDescent="0.25">
      <c r="E24" s="300">
        <v>5</v>
      </c>
      <c r="F24" s="66">
        <f t="shared" si="7"/>
        <v>0</v>
      </c>
      <c r="G24" s="8">
        <f t="shared" si="9"/>
        <v>0</v>
      </c>
      <c r="H24" s="8">
        <f t="shared" si="10"/>
        <v>0</v>
      </c>
      <c r="I24" s="2">
        <f t="shared" si="8"/>
        <v>0</v>
      </c>
      <c r="J24" s="2">
        <f t="shared" si="4"/>
        <v>0</v>
      </c>
      <c r="K24" s="8">
        <f t="shared" ref="K24:K27" si="11">G10</f>
        <v>0</v>
      </c>
      <c r="L24" s="312">
        <f t="shared" si="5"/>
        <v>0</v>
      </c>
      <c r="M24" s="69">
        <f t="shared" si="6"/>
        <v>0</v>
      </c>
    </row>
    <row r="25" spans="1:14" x14ac:dyDescent="0.25">
      <c r="E25" s="300">
        <v>6</v>
      </c>
      <c r="F25" s="66">
        <f t="shared" si="7"/>
        <v>0</v>
      </c>
      <c r="G25" s="8">
        <f t="shared" si="9"/>
        <v>0</v>
      </c>
      <c r="H25" s="8">
        <f t="shared" si="10"/>
        <v>0</v>
      </c>
      <c r="I25" s="2">
        <f t="shared" si="8"/>
        <v>0</v>
      </c>
      <c r="J25">
        <f t="shared" si="4"/>
        <v>0</v>
      </c>
      <c r="K25" s="8">
        <f t="shared" si="11"/>
        <v>0</v>
      </c>
      <c r="L25" s="312">
        <f t="shared" si="5"/>
        <v>0</v>
      </c>
      <c r="M25" s="69">
        <f t="shared" si="6"/>
        <v>0</v>
      </c>
    </row>
    <row r="26" spans="1:14" x14ac:dyDescent="0.25">
      <c r="E26" s="300">
        <v>7</v>
      </c>
      <c r="F26" s="66">
        <f t="shared" si="7"/>
        <v>0</v>
      </c>
      <c r="G26" s="8">
        <f t="shared" si="9"/>
        <v>0</v>
      </c>
      <c r="H26" s="8">
        <f t="shared" si="10"/>
        <v>0</v>
      </c>
      <c r="I26" s="2">
        <f t="shared" si="8"/>
        <v>0</v>
      </c>
      <c r="J26" s="3">
        <f t="shared" si="4"/>
        <v>0</v>
      </c>
      <c r="K26" s="8">
        <f t="shared" si="11"/>
        <v>0</v>
      </c>
      <c r="L26" s="312">
        <f t="shared" si="5"/>
        <v>0</v>
      </c>
      <c r="M26" s="69">
        <f t="shared" si="6"/>
        <v>0</v>
      </c>
    </row>
    <row r="27" spans="1:14" x14ac:dyDescent="0.25">
      <c r="E27" s="300">
        <v>8</v>
      </c>
      <c r="F27" s="66">
        <f t="shared" si="7"/>
        <v>0</v>
      </c>
      <c r="G27" s="8">
        <f t="shared" si="9"/>
        <v>0</v>
      </c>
      <c r="H27" s="8">
        <f t="shared" si="10"/>
        <v>0</v>
      </c>
      <c r="I27" s="2">
        <f t="shared" si="8"/>
        <v>0</v>
      </c>
      <c r="J27" s="2">
        <f t="shared" si="4"/>
        <v>0</v>
      </c>
      <c r="K27" s="8">
        <f t="shared" si="11"/>
        <v>0</v>
      </c>
      <c r="L27" s="312">
        <f t="shared" si="5"/>
        <v>0</v>
      </c>
      <c r="M27" s="69">
        <f t="shared" si="6"/>
        <v>0</v>
      </c>
    </row>
    <row r="28" spans="1:14" ht="17.25" customHeight="1" thickBot="1" x14ac:dyDescent="0.3">
      <c r="E28" s="254">
        <v>9</v>
      </c>
      <c r="F28" s="73">
        <f t="shared" si="7"/>
        <v>0</v>
      </c>
      <c r="G28" s="64">
        <f t="shared" si="9"/>
        <v>0</v>
      </c>
      <c r="H28" s="61">
        <f>D14</f>
        <v>0</v>
      </c>
      <c r="I28" s="134">
        <f t="shared" si="8"/>
        <v>0</v>
      </c>
      <c r="J28">
        <f t="shared" si="4"/>
        <v>0</v>
      </c>
      <c r="K28" s="61">
        <f>G14</f>
        <v>0</v>
      </c>
      <c r="L28" s="313">
        <f t="shared" si="5"/>
        <v>0</v>
      </c>
      <c r="M28" s="69">
        <f t="shared" si="6"/>
        <v>0</v>
      </c>
    </row>
    <row r="29" spans="1:14" ht="16.5" thickTop="1" thickBot="1" x14ac:dyDescent="0.3">
      <c r="E29" s="253" t="s">
        <v>150</v>
      </c>
      <c r="F29" s="234"/>
      <c r="G29" s="241"/>
      <c r="H29" s="306"/>
      <c r="I29" s="217">
        <f>SUM(I20:I28)</f>
        <v>4.2</v>
      </c>
      <c r="J29" s="117">
        <f>SUM(J20:J28)</f>
        <v>10.08</v>
      </c>
      <c r="K29" s="217"/>
      <c r="L29" s="307">
        <f>SUM(L20:L28)</f>
        <v>65100</v>
      </c>
      <c r="M29" s="241">
        <f>SUM(M20:M28)</f>
        <v>388773</v>
      </c>
    </row>
    <row r="30" spans="1:14" ht="15.75" thickTop="1" x14ac:dyDescent="0.25">
      <c r="B30" s="322"/>
    </row>
    <row r="31" spans="1:14" x14ac:dyDescent="0.25">
      <c r="B31" s="322"/>
    </row>
    <row r="32" spans="1:14" x14ac:dyDescent="0.25">
      <c r="A32" s="324"/>
      <c r="B32" s="324"/>
      <c r="C32" s="324"/>
      <c r="D32" s="324"/>
      <c r="E32" s="324"/>
    </row>
    <row r="33" spans="1:13" x14ac:dyDescent="0.25">
      <c r="A33" s="320"/>
      <c r="B33" s="323"/>
      <c r="C33" s="323"/>
      <c r="D33" s="323"/>
      <c r="E33" s="320"/>
      <c r="F33" s="321"/>
    </row>
    <row r="34" spans="1:13" x14ac:dyDescent="0.25">
      <c r="A34" s="320"/>
      <c r="B34" s="320"/>
      <c r="C34" s="320"/>
      <c r="D34" s="320"/>
      <c r="E34" s="320"/>
    </row>
    <row r="35" spans="1:13" x14ac:dyDescent="0.25">
      <c r="A35" s="320"/>
      <c r="B35" s="320"/>
      <c r="C35" s="320"/>
      <c r="D35" s="320"/>
      <c r="E35" s="320"/>
    </row>
    <row r="36" spans="1:13" x14ac:dyDescent="0.25">
      <c r="A36" s="320"/>
      <c r="B36" s="320"/>
      <c r="C36" s="320"/>
      <c r="D36" s="320"/>
      <c r="E36" s="320"/>
    </row>
    <row r="37" spans="1:13" x14ac:dyDescent="0.25">
      <c r="A37" s="320"/>
      <c r="B37" s="320"/>
      <c r="C37" s="320"/>
      <c r="D37" s="320"/>
      <c r="E37" s="320"/>
    </row>
    <row r="38" spans="1:13" x14ac:dyDescent="0.25">
      <c r="A38" s="320"/>
      <c r="B38" s="320"/>
      <c r="C38" s="320"/>
      <c r="D38" s="320"/>
      <c r="E38" s="320"/>
    </row>
    <row r="39" spans="1:13" x14ac:dyDescent="0.25">
      <c r="A39" s="324"/>
      <c r="B39" s="324"/>
      <c r="C39" s="324"/>
      <c r="D39" s="324"/>
      <c r="E39" s="324"/>
    </row>
    <row r="40" spans="1:13" x14ac:dyDescent="0.25">
      <c r="A40" s="324"/>
      <c r="B40" s="324"/>
      <c r="C40" s="324"/>
      <c r="D40" s="324"/>
      <c r="E40" s="324"/>
    </row>
    <row r="41" spans="1:13" x14ac:dyDescent="0.25">
      <c r="A41" s="324"/>
      <c r="B41" s="324"/>
      <c r="C41" s="324"/>
      <c r="D41" s="324"/>
      <c r="E41" s="324"/>
    </row>
    <row r="48" spans="1:13" ht="18.75" x14ac:dyDescent="0.35">
      <c r="B48" t="s">
        <v>159</v>
      </c>
      <c r="C48" t="s">
        <v>160</v>
      </c>
      <c r="D48" t="s">
        <v>143</v>
      </c>
      <c r="E48" t="s">
        <v>145</v>
      </c>
      <c r="F48" t="s">
        <v>147</v>
      </c>
      <c r="G48" t="s">
        <v>149</v>
      </c>
      <c r="H48" t="s">
        <v>176</v>
      </c>
      <c r="I48" t="s">
        <v>177</v>
      </c>
      <c r="J48" t="s">
        <v>180</v>
      </c>
      <c r="K48" t="s">
        <v>181</v>
      </c>
      <c r="L48" t="s">
        <v>178</v>
      </c>
      <c r="M48" t="s">
        <v>179</v>
      </c>
    </row>
    <row r="49" spans="1:13" x14ac:dyDescent="0.25">
      <c r="A49">
        <v>1</v>
      </c>
      <c r="B49">
        <v>1</v>
      </c>
      <c r="C49">
        <v>0.5</v>
      </c>
      <c r="D49">
        <v>0.75</v>
      </c>
      <c r="E49">
        <f>B49*C49</f>
        <v>0.5</v>
      </c>
      <c r="F49">
        <f>E49*D49</f>
        <v>0.375</v>
      </c>
      <c r="G49">
        <f>E49*(D49-B53)^2</f>
        <v>3.125E-2</v>
      </c>
      <c r="H49">
        <f>B49*C49^3/12</f>
        <v>1.0416666666666666E-2</v>
      </c>
      <c r="I49">
        <f>C$56*B$54/G$54/2</f>
        <v>0.125</v>
      </c>
      <c r="J49">
        <f>E54*E49</f>
        <v>37500</v>
      </c>
      <c r="K49">
        <f>J49*(D49-B$53)</f>
        <v>9375</v>
      </c>
      <c r="L49">
        <f>E54+F54*(C56-1)</f>
        <v>110000</v>
      </c>
      <c r="M49">
        <f>IF(G54=0, 0, L49*B54/G54)</f>
        <v>18333.333333333332</v>
      </c>
    </row>
    <row r="50" spans="1:13" x14ac:dyDescent="0.25">
      <c r="A50">
        <v>2</v>
      </c>
      <c r="B50">
        <v>1</v>
      </c>
      <c r="C50">
        <v>0.5</v>
      </c>
      <c r="D50">
        <v>0.25</v>
      </c>
      <c r="E50">
        <f>B50*C50</f>
        <v>0.5</v>
      </c>
      <c r="F50">
        <f>E50*D50</f>
        <v>0.125</v>
      </c>
      <c r="G50">
        <f>E50*(D50-D54)^2</f>
        <v>3.125E-2</v>
      </c>
      <c r="H50">
        <f>B50*C50^3/12</f>
        <v>1.0416666666666666E-2</v>
      </c>
      <c r="I50">
        <f>-C$56*B$54/G$54/2</f>
        <v>-0.125</v>
      </c>
      <c r="J50">
        <f>F54*E50</f>
        <v>35000</v>
      </c>
      <c r="K50">
        <f>J50*(D50-B$53)</f>
        <v>-8750</v>
      </c>
    </row>
    <row r="51" spans="1:13" ht="15.75" thickBot="1" x14ac:dyDescent="0.3">
      <c r="A51" s="253" t="s">
        <v>150</v>
      </c>
      <c r="E51">
        <f>SUM(E49:E50)</f>
        <v>1</v>
      </c>
      <c r="F51">
        <f>SUM(F49:F50)</f>
        <v>0.5</v>
      </c>
      <c r="G51">
        <f>SUM(G49:G50)</f>
        <v>6.25E-2</v>
      </c>
      <c r="H51">
        <f>SUM(H49:H50)</f>
        <v>2.0833333333333332E-2</v>
      </c>
      <c r="J51">
        <f>SUM(J49:J50)</f>
        <v>72500</v>
      </c>
      <c r="K51">
        <f>SUM(K49:K50)</f>
        <v>625</v>
      </c>
    </row>
    <row r="52" spans="1:13" ht="15.75" thickTop="1" x14ac:dyDescent="0.25"/>
    <row r="53" spans="1:13" x14ac:dyDescent="0.25">
      <c r="A53" t="s">
        <v>152</v>
      </c>
      <c r="B53">
        <f>IF(E51=0, 0, F51/E51)</f>
        <v>0.5</v>
      </c>
      <c r="E53" t="s">
        <v>172</v>
      </c>
      <c r="F53" t="s">
        <v>173</v>
      </c>
      <c r="G53" t="s">
        <v>174</v>
      </c>
      <c r="I53" t="s">
        <v>182</v>
      </c>
    </row>
    <row r="54" spans="1:13" x14ac:dyDescent="0.25">
      <c r="A54" t="s">
        <v>175</v>
      </c>
      <c r="B54">
        <f>G51+H51</f>
        <v>8.3333333333333329E-2</v>
      </c>
      <c r="E54">
        <v>75000</v>
      </c>
      <c r="F54">
        <v>70000</v>
      </c>
      <c r="G54">
        <v>0.5</v>
      </c>
    </row>
    <row r="55" spans="1:13" x14ac:dyDescent="0.25">
      <c r="A55" t="s">
        <v>170</v>
      </c>
    </row>
    <row r="56" spans="1:13" x14ac:dyDescent="0.25">
      <c r="A56" t="s">
        <v>171</v>
      </c>
      <c r="C56">
        <v>1.5</v>
      </c>
    </row>
    <row r="57" spans="1:13" x14ac:dyDescent="0.25">
      <c r="J57" t="s">
        <v>183</v>
      </c>
    </row>
  </sheetData>
  <mergeCells count="6">
    <mergeCell ref="A4:A5"/>
    <mergeCell ref="E18:E19"/>
    <mergeCell ref="A3:I3"/>
    <mergeCell ref="J7:L7"/>
    <mergeCell ref="J6:L6"/>
    <mergeCell ref="J8:L8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1C90-7738-4B9A-A264-1945CD4A47AB}">
  <dimension ref="A1:Q20"/>
  <sheetViews>
    <sheetView workbookViewId="0">
      <selection activeCell="H4" sqref="H4"/>
    </sheetView>
  </sheetViews>
  <sheetFormatPr defaultRowHeight="15" x14ac:dyDescent="0.25"/>
  <cols>
    <col min="8" max="8" width="10.85546875" customWidth="1"/>
    <col min="9" max="10" width="12" bestFit="1" customWidth="1"/>
    <col min="13" max="13" width="9" customWidth="1"/>
    <col min="14" max="14" width="8.7109375" customWidth="1"/>
  </cols>
  <sheetData>
    <row r="1" spans="1:17" ht="15.75" thickBot="1" x14ac:dyDescent="0.3"/>
    <row r="2" spans="1:17" ht="16.5" thickTop="1" thickBot="1" x14ac:dyDescent="0.3">
      <c r="A2" s="493" t="s">
        <v>211</v>
      </c>
      <c r="B2" s="494"/>
      <c r="C2" s="494"/>
      <c r="D2" s="494"/>
      <c r="E2" s="494"/>
      <c r="F2" s="494"/>
      <c r="G2" s="494"/>
      <c r="H2" s="494"/>
      <c r="I2" s="494"/>
      <c r="J2" s="494"/>
      <c r="K2" s="495"/>
      <c r="L2" s="110"/>
    </row>
    <row r="3" spans="1:17" ht="34.5" thickTop="1" thickBot="1" x14ac:dyDescent="0.3">
      <c r="A3" s="330" t="s">
        <v>189</v>
      </c>
      <c r="B3" s="331" t="s">
        <v>209</v>
      </c>
      <c r="C3" s="328" t="s">
        <v>190</v>
      </c>
      <c r="D3" s="328" t="s">
        <v>191</v>
      </c>
      <c r="E3" s="328" t="s">
        <v>192</v>
      </c>
      <c r="F3" s="328" t="s">
        <v>193</v>
      </c>
      <c r="G3" s="328" t="s">
        <v>194</v>
      </c>
      <c r="H3" s="328" t="s">
        <v>195</v>
      </c>
      <c r="I3" s="332" t="s">
        <v>209</v>
      </c>
      <c r="J3" s="328" t="s">
        <v>196</v>
      </c>
      <c r="K3" s="329" t="s">
        <v>197</v>
      </c>
      <c r="M3" s="334" t="s">
        <v>31</v>
      </c>
      <c r="N3" s="333" t="s">
        <v>0</v>
      </c>
      <c r="Q3" s="194" t="s">
        <v>204</v>
      </c>
    </row>
    <row r="4" spans="1:17" ht="15.75" thickTop="1" x14ac:dyDescent="0.25">
      <c r="A4" s="327">
        <v>1</v>
      </c>
      <c r="B4" s="343">
        <v>2000</v>
      </c>
      <c r="C4" s="7"/>
      <c r="D4" s="7"/>
      <c r="E4" s="341">
        <f>(C4+D4)/2</f>
        <v>0</v>
      </c>
      <c r="F4" s="341">
        <f>(C4-D4)/2</f>
        <v>0</v>
      </c>
      <c r="G4" s="342">
        <f>IFERROR(IF(B$11 = "Langer", (B$13/(F4+E4))-1,IF(B$11 = "Soderberg", (1/((F4/B$14)+(E4/B$13)))-1, IF(B$11 = "Modified-Goodman", (1/((F4/B$14)+(E4/B$12)))-1, IF(B$11 = "Gerber", (1/2)*(B$12/E4)^2*(F4/B$14)*(-1+SQRT(1+((2*E4*B$14)/(B$12*F4))^2))-1,IF(B$11 = "ASME", (SQRT(1/((F4/B$14)^2+(E4/B$13)^2)))-1, "choose Marin"))))),0)</f>
        <v>0</v>
      </c>
      <c r="H4" s="104">
        <v>45</v>
      </c>
      <c r="I4" s="121">
        <f>IF(B4 = "?", (1-K$9)*J4, B4)</f>
        <v>2000</v>
      </c>
      <c r="J4" s="104">
        <f>IFERROR((H4/M4)^(1/N4), 0)</f>
        <v>311029.55772143626</v>
      </c>
      <c r="K4" s="347">
        <f>IFERROR(IF(J4 = "inf", 0, B4/J4),0)</f>
        <v>6.4302570297554689E-3</v>
      </c>
      <c r="M4" s="392">
        <f>IFERROR(IF(H4 &lt;&gt; 0,IF( B14 &gt;= H4,"Infinite Life", IF($H4 &gt; $B$16, $B$12, ($B$16)^2/$B$14))),0)</f>
        <v>684.24790608457147</v>
      </c>
      <c r="N4" s="350">
        <f>IF(H4 &lt;&gt; 0,IF($H4 &gt; $B$16, (1/3) * LOG(B$15), (-1/3) * LOG(B$16/B$14)),0)</f>
        <v>-0.21519090545310807</v>
      </c>
      <c r="Q4" s="194" t="s">
        <v>205</v>
      </c>
    </row>
    <row r="5" spans="1:17" x14ac:dyDescent="0.25">
      <c r="A5" s="326">
        <v>2</v>
      </c>
      <c r="B5" s="344">
        <v>400</v>
      </c>
      <c r="C5" s="8"/>
      <c r="D5" s="8"/>
      <c r="E5" s="339">
        <f t="shared" ref="E5:E8" si="0">(C5+D5)/2</f>
        <v>0</v>
      </c>
      <c r="F5" s="339">
        <f t="shared" ref="F5:F8" si="1">(C5-D5)/2</f>
        <v>0</v>
      </c>
      <c r="G5" s="342">
        <f>IFERROR(IF(B$11 = "Langer", (B$13/(F5+E5))-1,IF(B$11 = "Soderberg", (1/((F5/B$14)+(E5/B$13)))-1, IF(B$11 = "Modified-Goodman", (1/((F5/B$14)+(E5/B$12)))-1, IF(B$11 = "Gerber", (1/2)*(B$12/E5)^2*(F5/B$14)*(-1+SQRT(1+((2*E5*B$14)/(B$12*F5))^2))-1,IF(B$11 = "ASME", (SQRT(1/((F5/B$14)^2+(E5/B$13)^2)))-1, "choose Marin"))))),0)</f>
        <v>0</v>
      </c>
      <c r="H5" s="104">
        <v>165</v>
      </c>
      <c r="I5" s="312">
        <f>IF(B5 = "?", (1-K$9)*J5, B5)</f>
        <v>400</v>
      </c>
      <c r="J5" s="104">
        <f t="shared" ref="J5:J8" si="2">IFERROR((H5/M5)^(1/N5), 0)</f>
        <v>177.87343958927622</v>
      </c>
      <c r="K5" s="347">
        <f>IFERROR(IF(J5 = "inf", 0, B5/J5),0)</f>
        <v>2.2487899313333766</v>
      </c>
      <c r="M5" s="393">
        <f>IFERROR(IF(H5 &lt;&gt; 0,IF( B$14 &gt;= H5,"Infinite Life", IF($H5 &gt; $B$16, $B$12, ($B$16)^2/$B$14))),0)</f>
        <v>200</v>
      </c>
      <c r="N5" s="351">
        <f>IF(H5 &lt;&gt; 0,IF($H5 &gt; $B$16, (1/3) * LOG(B$15), (-1/3) * LOG(B$16/B$14)),0)</f>
        <v>-3.7129744984793794E-2</v>
      </c>
      <c r="Q5" s="194" t="s">
        <v>206</v>
      </c>
    </row>
    <row r="6" spans="1:17" x14ac:dyDescent="0.25">
      <c r="A6" s="326">
        <v>3</v>
      </c>
      <c r="B6" s="344"/>
      <c r="C6" s="8"/>
      <c r="D6" s="8"/>
      <c r="E6" s="339">
        <f t="shared" si="0"/>
        <v>0</v>
      </c>
      <c r="F6" s="339">
        <f t="shared" si="1"/>
        <v>0</v>
      </c>
      <c r="G6" s="342">
        <f>IFERROR(IF(B$11 = "Langer", (B$13/(F6+E6))-1,IF(B$11 = "Soderberg", (1/((F6/B$14)+(E6/B$13)))-1, IF(B$11 = "Modified-Goodman", (1/((F6/B$14)+(E6/B$12)))-1, IF(B$11 = "Gerber", (1/2)*(B$12/E6)^2*(F6/B$14)*(-1+SQRT(1+((2*E6*B$14)/(B$12*F6))^2))-1,IF(B$11 = "ASME", (SQRT(1/((F6/B$14)^2+(E6/B$13)^2)))-1, "choose Marin"))))),0)</f>
        <v>0</v>
      </c>
      <c r="H6" s="104">
        <v>0</v>
      </c>
      <c r="I6" s="312">
        <f>IF(B6 = "?", (1-K$9)*J6, B6)</f>
        <v>0</v>
      </c>
      <c r="J6" s="104">
        <f t="shared" si="2"/>
        <v>0</v>
      </c>
      <c r="K6" s="347">
        <f t="shared" ref="K6:K8" si="3">IFERROR(IF(J6 = "inf", 0, B6/J6),0)</f>
        <v>0</v>
      </c>
      <c r="M6" s="393" t="b">
        <f>IF(H6 &lt;&gt; 0,IF( B$14 &gt;= H6,"Infinite Life", IF($H6 &gt; $B$16, $B$12, ($B$16)^2/$B$14)))</f>
        <v>0</v>
      </c>
      <c r="N6" s="351">
        <f>IF(H6 &lt;&gt; 0,IF($H6 &gt; $B$16, (1/3) * LOG(B$15), (-1/3) * LOG(B$16/B$14)),0)</f>
        <v>0</v>
      </c>
      <c r="Q6" s="194" t="s">
        <v>207</v>
      </c>
    </row>
    <row r="7" spans="1:17" x14ac:dyDescent="0.25">
      <c r="A7" s="326">
        <v>4</v>
      </c>
      <c r="B7" s="66"/>
      <c r="C7" s="8"/>
      <c r="D7" s="8"/>
      <c r="E7" s="339">
        <f t="shared" si="0"/>
        <v>0</v>
      </c>
      <c r="F7" s="339">
        <f t="shared" si="1"/>
        <v>0</v>
      </c>
      <c r="G7" s="342">
        <f>IFERROR(IF(B$11 = "Langer", (B$13/(F7+E7))-1,IF(B$11 = "Soderberg", (1/((F7/B$14)+(E7/B$13)))-1, IF(B$11 = "Modified-Goodman", (1/((F7/B$14)+(E7/B$12)))-1, IF(B$11 = "Gerber", (1/2)*(B$12/E7)^2*(F7/B$14)*(-1+SQRT(1+((2*E7*B$14)/(B$12*F7))^2))-1,IF(B$11 = "ASME", (SQRT(1/((F7/B$14)^2+(E7/B$13)^2)))-1, "choose Marin"))))),0)</f>
        <v>0</v>
      </c>
      <c r="H7" s="104">
        <v>0</v>
      </c>
      <c r="I7" s="312">
        <f>IF(B7 = "?", (1-K$9)*J7, B7)</f>
        <v>0</v>
      </c>
      <c r="J7" s="104">
        <f t="shared" si="2"/>
        <v>0</v>
      </c>
      <c r="K7" s="347">
        <f t="shared" si="3"/>
        <v>0</v>
      </c>
      <c r="M7" s="393" t="b">
        <f t="shared" ref="M7:M8" si="4">IFERROR(IF(H7 &lt;&gt; 0,IF( B$14 &gt;= H7,"Infinite Life", IF($H7 &gt; $B$16, $B$12, ($B$16)^2/$B$14))),0)</f>
        <v>0</v>
      </c>
      <c r="N7" s="351">
        <f>IF(H7 &lt;&gt; 0,IF($H7 &gt; $B$16, (1/3) * LOG(B$15), (-1/3) * LOG(B$16/B$14)),0)</f>
        <v>0</v>
      </c>
      <c r="Q7" s="194" t="s">
        <v>208</v>
      </c>
    </row>
    <row r="8" spans="1:17" ht="15.75" thickBot="1" x14ac:dyDescent="0.3">
      <c r="A8" s="325">
        <v>5</v>
      </c>
      <c r="B8" s="308"/>
      <c r="C8" s="61"/>
      <c r="D8" s="61"/>
      <c r="E8" s="340">
        <f t="shared" si="0"/>
        <v>0</v>
      </c>
      <c r="F8" s="340">
        <f t="shared" si="1"/>
        <v>0</v>
      </c>
      <c r="G8" s="345">
        <f>IFERROR(IF(B$11 = "Langer", (B$13/(F8+E8))-1,IF(B$11 = "Soderberg", (1/((F8/B$14)+(E8/B$13)))-1, IF(B$11 = "Modified-Goodman", (1/((F8/B$14)+(E8/B$12)))-1, IF(B$11 = "Gerber", (1/2)*(B$12/E8)^2*(F8/B$14)*(-1+SQRT(1+((2*E8*B$14)/(B$12*F8))^2))-1,IF(B$11 = "ASME", (SQRT(1/((F8/B$14)^2+(E8/B$13)^2)))-1, "choose Marin"))))),0)</f>
        <v>0</v>
      </c>
      <c r="H8" s="70">
        <v>0</v>
      </c>
      <c r="I8" s="313">
        <f>IF(B8 = "?", (1-K$9)*J8, B8)</f>
        <v>0</v>
      </c>
      <c r="J8" s="70">
        <f t="shared" si="2"/>
        <v>0</v>
      </c>
      <c r="K8" s="348">
        <f t="shared" si="3"/>
        <v>0</v>
      </c>
      <c r="M8" s="393" t="b">
        <f t="shared" si="4"/>
        <v>0</v>
      </c>
      <c r="N8" s="337">
        <f>IF(H8 &lt;&gt; 0,IF($H8 &gt; $B$16, (1/3) * LOG(B$15), (-1/3) * LOG(B$16/B$14)),0)</f>
        <v>0</v>
      </c>
    </row>
    <row r="9" spans="1:17" ht="16.5" thickTop="1" thickBot="1" x14ac:dyDescent="0.3">
      <c r="A9" s="253" t="s">
        <v>150</v>
      </c>
      <c r="B9" s="205"/>
      <c r="C9" s="209"/>
      <c r="D9" s="209"/>
      <c r="E9" s="209"/>
      <c r="F9" s="209"/>
      <c r="G9" s="346"/>
      <c r="H9" s="209"/>
      <c r="I9" s="209"/>
      <c r="J9" s="209"/>
      <c r="K9" s="349">
        <f>SUM(K4:K8)</f>
        <v>2.2552201883631322</v>
      </c>
    </row>
    <row r="10" spans="1:17" ht="16.5" thickTop="1" thickBot="1" x14ac:dyDescent="0.3">
      <c r="B10" s="4"/>
    </row>
    <row r="11" spans="1:17" ht="15.75" thickTop="1" x14ac:dyDescent="0.25">
      <c r="A11" s="251" t="s">
        <v>203</v>
      </c>
      <c r="B11" s="497" t="s">
        <v>207</v>
      </c>
      <c r="C11" s="498"/>
    </row>
    <row r="12" spans="1:17" ht="18" x14ac:dyDescent="0.25">
      <c r="A12" s="326" t="s">
        <v>198</v>
      </c>
      <c r="B12" s="338">
        <v>200</v>
      </c>
      <c r="C12" s="335" t="s">
        <v>200</v>
      </c>
    </row>
    <row r="13" spans="1:17" ht="18" x14ac:dyDescent="0.25">
      <c r="A13" s="326" t="s">
        <v>210</v>
      </c>
      <c r="B13" s="338"/>
      <c r="C13" s="240" t="s">
        <v>200</v>
      </c>
    </row>
    <row r="14" spans="1:17" ht="18" x14ac:dyDescent="0.25">
      <c r="A14" s="326" t="s">
        <v>199</v>
      </c>
      <c r="B14" s="338">
        <v>35</v>
      </c>
      <c r="C14" s="240" t="s">
        <v>200</v>
      </c>
      <c r="D14" s="4"/>
      <c r="J14">
        <f>0.497915</f>
        <v>0.497915</v>
      </c>
    </row>
    <row r="15" spans="1:17" x14ac:dyDescent="0.25">
      <c r="A15" s="300" t="s">
        <v>201</v>
      </c>
      <c r="B15" s="496">
        <v>0.77376800000000001</v>
      </c>
      <c r="C15" s="418"/>
    </row>
    <row r="16" spans="1:17" ht="18.75" thickBot="1" x14ac:dyDescent="0.3">
      <c r="A16" s="325" t="s">
        <v>202</v>
      </c>
      <c r="B16" s="336">
        <f>B15*B12</f>
        <v>154.75360000000001</v>
      </c>
      <c r="C16" s="337" t="s">
        <v>200</v>
      </c>
      <c r="J16" s="4"/>
    </row>
    <row r="17" spans="5:10" ht="15.75" thickTop="1" x14ac:dyDescent="0.25">
      <c r="J17">
        <f>J14+K9</f>
        <v>2.7531351883631321</v>
      </c>
    </row>
    <row r="18" spans="5:10" x14ac:dyDescent="0.25">
      <c r="J18">
        <f>+(1-K9)*J5</f>
        <v>-223.27033234604951</v>
      </c>
    </row>
    <row r="19" spans="5:10" x14ac:dyDescent="0.25">
      <c r="J19">
        <f>J18/J5-1</f>
        <v>-2.2552201883631322</v>
      </c>
    </row>
    <row r="20" spans="5:10" x14ac:dyDescent="0.25">
      <c r="E20" s="4"/>
    </row>
  </sheetData>
  <mergeCells count="3">
    <mergeCell ref="A2:K2"/>
    <mergeCell ref="B15:C15"/>
    <mergeCell ref="B11:C11"/>
  </mergeCells>
  <dataValidations count="1">
    <dataValidation type="list" allowBlank="1" showInputMessage="1" showErrorMessage="1" sqref="B11" xr:uid="{497178E0-9C01-4DAC-B8E3-313A53C75426}">
      <formula1>$Q$3:$Q$7</formula1>
    </dataValidation>
  </dataValidation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7DAD-E607-496A-BD28-07F3DDFC5A5B}">
  <dimension ref="A5:O39"/>
  <sheetViews>
    <sheetView topLeftCell="A7" workbookViewId="0">
      <selection activeCell="G20" sqref="G20"/>
    </sheetView>
  </sheetViews>
  <sheetFormatPr defaultRowHeight="15" x14ac:dyDescent="0.25"/>
  <cols>
    <col min="1" max="1" width="9.85546875" customWidth="1"/>
    <col min="8" max="8" width="12" bestFit="1" customWidth="1"/>
  </cols>
  <sheetData>
    <row r="5" spans="1:9" ht="15.75" thickBot="1" x14ac:dyDescent="0.3">
      <c r="A5" s="154"/>
      <c r="B5" s="154"/>
      <c r="C5" s="154"/>
      <c r="D5" s="154"/>
      <c r="E5" s="154"/>
      <c r="F5" s="154"/>
      <c r="G5" s="154"/>
      <c r="H5" s="154"/>
    </row>
    <row r="6" spans="1:9" ht="19.5" thickTop="1" thickBot="1" x14ac:dyDescent="0.4">
      <c r="A6" s="251" t="s">
        <v>235</v>
      </c>
      <c r="B6" s="283" t="s">
        <v>31</v>
      </c>
      <c r="C6" s="352" t="s">
        <v>136</v>
      </c>
      <c r="D6" s="358" t="s">
        <v>224</v>
      </c>
      <c r="E6" s="352" t="s">
        <v>217</v>
      </c>
      <c r="F6" s="352" t="s">
        <v>219</v>
      </c>
      <c r="G6" s="352" t="s">
        <v>223</v>
      </c>
      <c r="H6" s="352" t="s">
        <v>222</v>
      </c>
      <c r="I6" s="352" t="s">
        <v>218</v>
      </c>
    </row>
    <row r="7" spans="1:9" ht="15.75" thickTop="1" x14ac:dyDescent="0.25">
      <c r="A7" s="251">
        <v>1</v>
      </c>
      <c r="B7" s="362">
        <v>0.02</v>
      </c>
      <c r="C7" s="350">
        <f>21.041*(B7/B$16)^3-8.749*(B7/B$16)^2+3.005*(B7/B$16)+0.9776</f>
        <v>1.0067961409999999</v>
      </c>
      <c r="D7" s="350">
        <f t="shared" ref="D7:D13" si="0">C7*B$19*SQRT(PI()*B7)</f>
        <v>17.665645716739853</v>
      </c>
      <c r="E7" s="365"/>
      <c r="F7" s="366">
        <f>B$20*D7^B$21*E7</f>
        <v>0</v>
      </c>
      <c r="G7" s="369">
        <f>B7+F7</f>
        <v>0.02</v>
      </c>
      <c r="H7" s="369" cm="1">
        <f t="array" ref="H7">C7*MAX(ABS(B$17:B$18))*SQRT(PI()*G7)</f>
        <v>10.094654695279916</v>
      </c>
      <c r="I7" s="370">
        <f>(B$22/H7)-1</f>
        <v>3.4578047846491682</v>
      </c>
    </row>
    <row r="8" spans="1:9" x14ac:dyDescent="0.25">
      <c r="A8" s="274">
        <v>2</v>
      </c>
      <c r="B8" s="363">
        <f>IF(E8=0, ,G7)</f>
        <v>0</v>
      </c>
      <c r="C8" s="351">
        <f t="shared" ref="C8:C13" si="1">IF(E8=0, ,21.041*(B8/B$16)^3-8.749*(B8/B$16)^2+3.005*(B8/B$16)+0.9776)</f>
        <v>0</v>
      </c>
      <c r="D8" s="351">
        <f t="shared" si="0"/>
        <v>0</v>
      </c>
      <c r="E8" s="240"/>
      <c r="F8" s="367">
        <f t="shared" ref="F8:F13" si="2">IF(E8=0, ,B$20*D8^B$21*E8)</f>
        <v>0</v>
      </c>
      <c r="G8" s="361">
        <f t="shared" ref="G8:G13" si="3">B8+F8</f>
        <v>0</v>
      </c>
      <c r="H8" s="360" cm="1">
        <f t="array" ref="H8">C8*MAX(ABS(B$17:B$18))*SQRT(PI()*G8)</f>
        <v>0</v>
      </c>
      <c r="I8" s="359">
        <f t="shared" ref="I8:I13" si="4">IFERROR((B$22/H8)-1,0)</f>
        <v>0</v>
      </c>
    </row>
    <row r="9" spans="1:9" x14ac:dyDescent="0.25">
      <c r="A9" s="300">
        <v>3</v>
      </c>
      <c r="B9" s="363">
        <f t="shared" ref="B9:B13" si="5">IF(E9=0, ,G8)</f>
        <v>0</v>
      </c>
      <c r="C9" s="351">
        <f t="shared" si="1"/>
        <v>0</v>
      </c>
      <c r="D9" s="351">
        <f t="shared" si="0"/>
        <v>0</v>
      </c>
      <c r="E9" s="240"/>
      <c r="F9" s="367">
        <f t="shared" si="2"/>
        <v>0</v>
      </c>
      <c r="G9" s="361">
        <f t="shared" si="3"/>
        <v>0</v>
      </c>
      <c r="H9" s="371" cm="1">
        <f t="array" ref="H9">C9*MAX(ABS(B$17:B$18))*SQRT(PI()*G9)</f>
        <v>0</v>
      </c>
      <c r="I9" s="285">
        <f t="shared" si="4"/>
        <v>0</v>
      </c>
    </row>
    <row r="10" spans="1:9" x14ac:dyDescent="0.25">
      <c r="A10" s="391">
        <v>4</v>
      </c>
      <c r="B10" s="363">
        <f t="shared" si="5"/>
        <v>0</v>
      </c>
      <c r="C10" s="351">
        <f t="shared" si="1"/>
        <v>0</v>
      </c>
      <c r="D10" s="351">
        <f t="shared" si="0"/>
        <v>0</v>
      </c>
      <c r="E10" s="240"/>
      <c r="F10" s="367">
        <f t="shared" si="2"/>
        <v>0</v>
      </c>
      <c r="G10" s="361">
        <f t="shared" si="3"/>
        <v>0</v>
      </c>
      <c r="H10" s="360" cm="1">
        <f t="array" ref="H10">C10*MAX(ABS(B$17:B$18))*SQRT(PI()*G10)</f>
        <v>0</v>
      </c>
      <c r="I10" s="359">
        <f t="shared" si="4"/>
        <v>0</v>
      </c>
    </row>
    <row r="11" spans="1:9" x14ac:dyDescent="0.25">
      <c r="A11" s="274">
        <v>5</v>
      </c>
      <c r="B11" s="363">
        <f t="shared" si="5"/>
        <v>0</v>
      </c>
      <c r="C11" s="351">
        <f t="shared" si="1"/>
        <v>0</v>
      </c>
      <c r="D11" s="351">
        <f t="shared" si="0"/>
        <v>0</v>
      </c>
      <c r="E11" s="368"/>
      <c r="F11" s="367">
        <f t="shared" si="2"/>
        <v>0</v>
      </c>
      <c r="G11" s="361">
        <f t="shared" si="3"/>
        <v>0</v>
      </c>
      <c r="H11" s="372" cm="1">
        <f t="array" ref="H11">C11*MAX(ABS(B$17:B$18))*SQRT(PI()*G11)</f>
        <v>0</v>
      </c>
      <c r="I11" s="373">
        <f t="shared" si="4"/>
        <v>0</v>
      </c>
    </row>
    <row r="12" spans="1:9" x14ac:dyDescent="0.25">
      <c r="A12" s="300">
        <v>6</v>
      </c>
      <c r="B12" s="363">
        <f t="shared" si="5"/>
        <v>0</v>
      </c>
      <c r="C12" s="351">
        <f t="shared" si="1"/>
        <v>0</v>
      </c>
      <c r="D12" s="351">
        <f t="shared" si="0"/>
        <v>0</v>
      </c>
      <c r="E12" s="368"/>
      <c r="F12" s="367">
        <f t="shared" si="2"/>
        <v>0</v>
      </c>
      <c r="G12" s="361">
        <f t="shared" si="3"/>
        <v>0</v>
      </c>
      <c r="H12" s="372" cm="1">
        <f t="array" ref="H12">C12*MAX(ABS(B$17:B$18))*SQRT(PI()*G12)</f>
        <v>0</v>
      </c>
      <c r="I12" s="373">
        <f t="shared" si="4"/>
        <v>0</v>
      </c>
    </row>
    <row r="13" spans="1:9" ht="15.75" thickBot="1" x14ac:dyDescent="0.3">
      <c r="A13" s="377">
        <v>7</v>
      </c>
      <c r="B13" s="390">
        <f t="shared" si="5"/>
        <v>0</v>
      </c>
      <c r="C13" s="382">
        <f t="shared" si="1"/>
        <v>0</v>
      </c>
      <c r="D13" s="383">
        <f t="shared" si="0"/>
        <v>0</v>
      </c>
      <c r="E13" s="384"/>
      <c r="F13" s="385">
        <f t="shared" si="2"/>
        <v>0</v>
      </c>
      <c r="G13" s="386">
        <f t="shared" si="3"/>
        <v>0</v>
      </c>
      <c r="H13" s="387" cm="1">
        <f t="array" ref="H13">C13*MAX(ABS(B$17:B$18))*SQRT(PI()*G13)</f>
        <v>0</v>
      </c>
      <c r="I13" s="374">
        <f t="shared" si="4"/>
        <v>0</v>
      </c>
    </row>
    <row r="14" spans="1:9" ht="16.5" thickTop="1" thickBot="1" x14ac:dyDescent="0.3">
      <c r="A14" s="381" t="s">
        <v>150</v>
      </c>
      <c r="B14" s="380"/>
      <c r="C14" s="346"/>
      <c r="D14" s="346"/>
      <c r="E14" s="389">
        <f>SUM(E7:E13)</f>
        <v>0</v>
      </c>
      <c r="F14" s="346"/>
      <c r="G14" s="346"/>
      <c r="H14" s="346"/>
      <c r="I14" s="388"/>
    </row>
    <row r="15" spans="1:9" ht="16.5" thickTop="1" thickBot="1" x14ac:dyDescent="0.3">
      <c r="A15" s="154"/>
      <c r="B15" s="357"/>
    </row>
    <row r="16" spans="1:9" ht="16.5" thickTop="1" thickBot="1" x14ac:dyDescent="0.3">
      <c r="A16" s="353" t="s">
        <v>0</v>
      </c>
      <c r="B16" s="378">
        <v>2</v>
      </c>
      <c r="C16" s="365" t="s">
        <v>81</v>
      </c>
      <c r="E16" s="375" t="s">
        <v>233</v>
      </c>
    </row>
    <row r="17" spans="1:15" ht="19.5" thickTop="1" thickBot="1" x14ac:dyDescent="0.3">
      <c r="A17" s="376" t="s">
        <v>229</v>
      </c>
      <c r="B17" s="379">
        <v>40</v>
      </c>
      <c r="C17" s="240" t="s">
        <v>200</v>
      </c>
      <c r="E17" s="180" t="e">
        <f>(SUM(E7:E13)-B23)/B23*100</f>
        <v>#DIV/0!</v>
      </c>
    </row>
    <row r="18" spans="1:15" ht="18.75" thickTop="1" x14ac:dyDescent="0.25">
      <c r="A18" s="376" t="s">
        <v>228</v>
      </c>
      <c r="B18" s="379">
        <v>-30</v>
      </c>
      <c r="C18" s="240" t="s">
        <v>200</v>
      </c>
    </row>
    <row r="19" spans="1:15" x14ac:dyDescent="0.25">
      <c r="A19" s="376" t="s">
        <v>230</v>
      </c>
      <c r="B19" s="379">
        <f>(B17-B18)</f>
        <v>70</v>
      </c>
      <c r="C19" s="240" t="s">
        <v>200</v>
      </c>
    </row>
    <row r="20" spans="1:15" x14ac:dyDescent="0.25">
      <c r="A20" s="376" t="s">
        <v>137</v>
      </c>
      <c r="B20" s="499">
        <v>3.5999999999999999E-7</v>
      </c>
      <c r="C20" s="500"/>
    </row>
    <row r="21" spans="1:15" x14ac:dyDescent="0.25">
      <c r="A21" s="376" t="s">
        <v>212</v>
      </c>
      <c r="B21" s="496">
        <v>0.1</v>
      </c>
      <c r="C21" s="500"/>
    </row>
    <row r="22" spans="1:15" ht="18" x14ac:dyDescent="0.25">
      <c r="A22" s="376" t="s">
        <v>227</v>
      </c>
      <c r="B22" s="379">
        <v>45</v>
      </c>
      <c r="C22" s="240" t="s">
        <v>231</v>
      </c>
    </row>
    <row r="23" spans="1:15" ht="18.75" thickBot="1" x14ac:dyDescent="0.4">
      <c r="A23" s="377" t="s">
        <v>234</v>
      </c>
      <c r="B23" s="364"/>
      <c r="C23" s="178" t="s">
        <v>232</v>
      </c>
    </row>
    <row r="24" spans="1:15" ht="15.75" thickTop="1" x14ac:dyDescent="0.25"/>
    <row r="31" spans="1:15" x14ac:dyDescent="0.25">
      <c r="E31" t="s">
        <v>137</v>
      </c>
      <c r="K31" t="s">
        <v>215</v>
      </c>
      <c r="L31">
        <v>0.21265000000000001</v>
      </c>
      <c r="N31" t="s">
        <v>225</v>
      </c>
      <c r="O31">
        <f>21.041*(L31/2)^3-8.749*(L31/2)^2+3.005*(L31/2)+0.9776</f>
        <v>1.2234905121651618</v>
      </c>
    </row>
    <row r="32" spans="1:15" x14ac:dyDescent="0.25">
      <c r="E32" t="s">
        <v>212</v>
      </c>
      <c r="K32" t="s">
        <v>216</v>
      </c>
      <c r="L32">
        <v>0.1</v>
      </c>
      <c r="N32" t="s">
        <v>226</v>
      </c>
      <c r="O32">
        <f>21.041*(L32/2)^3-8.749*(L32/2)^2+3.005*(L32/2)+0.9776</f>
        <v>1.1086076250000001</v>
      </c>
    </row>
    <row r="33" spans="5:10" x14ac:dyDescent="0.25">
      <c r="E33" t="s">
        <v>220</v>
      </c>
      <c r="H33" t="s">
        <v>213</v>
      </c>
      <c r="I33">
        <f>(O31+O32)/2</f>
        <v>1.1660490685825811</v>
      </c>
    </row>
    <row r="36" spans="5:10" x14ac:dyDescent="0.25">
      <c r="H36" t="s">
        <v>214</v>
      </c>
      <c r="I36">
        <v>80</v>
      </c>
    </row>
    <row r="37" spans="5:10" x14ac:dyDescent="0.25">
      <c r="F37">
        <f>(B23-29500)/29500*100</f>
        <v>-100</v>
      </c>
    </row>
    <row r="38" spans="5:10" x14ac:dyDescent="0.25">
      <c r="J38" s="354">
        <v>5.0000000000000001E-3</v>
      </c>
    </row>
    <row r="39" spans="5:10" x14ac:dyDescent="0.25">
      <c r="I39" s="356" t="s">
        <v>221</v>
      </c>
      <c r="J39" s="355">
        <f>21.041*J38^3-8.749*J38^2+3.005*J38+0.9776</f>
        <v>0.99240890512500002</v>
      </c>
    </row>
  </sheetData>
  <mergeCells count="2">
    <mergeCell ref="B20:C20"/>
    <mergeCell ref="B21:C21"/>
  </mergeCells>
  <pageMargins left="0.7" right="0.7" top="0.75" bottom="0.75" header="0.3" footer="0.3"/>
  <pageSetup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B7FC6AC4FE444B877890E38956568" ma:contentTypeVersion="7" ma:contentTypeDescription="Create a new document." ma:contentTypeScope="" ma:versionID="e713b73674285cc2dff04b91be2c8d89">
  <xsd:schema xmlns:xsd="http://www.w3.org/2001/XMLSchema" xmlns:xs="http://www.w3.org/2001/XMLSchema" xmlns:p="http://schemas.microsoft.com/office/2006/metadata/properties" xmlns:ns3="5c13b270-6d6c-423e-85a7-02a26294b793" xmlns:ns4="96c2848b-4be2-469c-b825-a3e03273d264" targetNamespace="http://schemas.microsoft.com/office/2006/metadata/properties" ma:root="true" ma:fieldsID="1945a544e29b1b553d17119faa7cb6b2" ns3:_="" ns4:_="">
    <xsd:import namespace="5c13b270-6d6c-423e-85a7-02a26294b793"/>
    <xsd:import namespace="96c2848b-4be2-469c-b825-a3e03273d2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3b270-6d6c-423e-85a7-02a26294b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2848b-4be2-469c-b825-a3e03273d2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804CC8-5D9E-4669-9CEC-C0A6DD7D73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43CDEE-1C06-4EAD-8A2C-ED6DCF809194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96c2848b-4be2-469c-b825-a3e03273d264"/>
    <ds:schemaRef ds:uri="5c13b270-6d6c-423e-85a7-02a26294b79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BDF7CD-D7BD-4272-B673-B961D1C9F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13b270-6d6c-423e-85a7-02a26294b793"/>
    <ds:schemaRef ds:uri="96c2848b-4be2-469c-b825-a3e03273d2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Torsional Constant Calculation</vt:lpstr>
      <vt:lpstr>Bending Stress and Strain</vt:lpstr>
      <vt:lpstr>Bending of Lumped Section</vt:lpstr>
      <vt:lpstr>Bending of Multiple Materials</vt:lpstr>
      <vt:lpstr>Shear Flow in Lumped Sections</vt:lpstr>
      <vt:lpstr>Plastic Bending</vt:lpstr>
      <vt:lpstr>Cumulative Fatigue Damage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Quavis</dc:creator>
  <cp:lastModifiedBy>Scotty Sharpe</cp:lastModifiedBy>
  <dcterms:created xsi:type="dcterms:W3CDTF">2021-02-17T04:30:38Z</dcterms:created>
  <dcterms:modified xsi:type="dcterms:W3CDTF">2021-12-06T14:10:30Z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0x0101005CFB7FC6AC4FE444B877890E38956568</vt:lpwstr>
  </property>
</Properties>
</file>