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19200" windowHeight="7680"/>
  </bookViews>
  <sheets>
    <sheet name="Barrowman" sheetId="1" r:id="rId1"/>
    <sheet name="Plot Wind" sheetId="3" r:id="rId2"/>
    <sheet name="MD-Daten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D60" i="1"/>
  <c r="J10" i="1"/>
  <c r="D65" i="1"/>
  <c r="D8" i="1"/>
  <c r="D64" i="1"/>
  <c r="D63" i="1"/>
  <c r="D67" i="1"/>
  <c r="D66" i="1"/>
  <c r="D69" i="1"/>
  <c r="D81" i="1"/>
  <c r="D82" i="1"/>
  <c r="D70" i="1"/>
  <c r="J6" i="1"/>
  <c r="D68" i="1"/>
  <c r="D71" i="1"/>
  <c r="J11" i="1"/>
  <c r="D86" i="1"/>
  <c r="D103" i="1"/>
  <c r="D87" i="1"/>
  <c r="J7" i="1"/>
  <c r="D45" i="1"/>
  <c r="D50" i="1"/>
  <c r="D49" i="1"/>
  <c r="D104" i="1"/>
  <c r="D88" i="1"/>
  <c r="J12" i="1"/>
  <c r="J14" i="1"/>
  <c r="J18" i="1"/>
  <c r="J19" i="1"/>
  <c r="D25" i="1"/>
  <c r="D9" i="1"/>
  <c r="C30" i="3"/>
  <c r="C31" i="3"/>
  <c r="C32" i="3"/>
  <c r="C33" i="3"/>
  <c r="C34" i="3"/>
  <c r="V3" i="3"/>
  <c r="U3" i="3"/>
  <c r="T3" i="3"/>
  <c r="S3" i="3"/>
  <c r="R3" i="3"/>
  <c r="Q3" i="3"/>
  <c r="O3" i="3"/>
  <c r="N3" i="3"/>
  <c r="I2" i="3"/>
  <c r="L3" i="3"/>
  <c r="K3" i="3"/>
  <c r="J3" i="3"/>
  <c r="I3" i="3"/>
  <c r="E2" i="3"/>
  <c r="H3" i="3"/>
  <c r="G3" i="3"/>
  <c r="F3" i="3"/>
  <c r="E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4" i="3"/>
  <c r="J52" i="1"/>
  <c r="I62" i="1"/>
  <c r="L106" i="1"/>
  <c r="M106" i="1"/>
  <c r="N106" i="1"/>
  <c r="L107" i="1"/>
  <c r="M107" i="1"/>
  <c r="N107" i="1"/>
  <c r="L108" i="1"/>
  <c r="M108" i="1"/>
  <c r="N108" i="1"/>
  <c r="P76" i="1"/>
  <c r="K93" i="1"/>
  <c r="K105" i="1"/>
  <c r="L105" i="1"/>
  <c r="M105" i="1"/>
  <c r="N105" i="1"/>
  <c r="O78" i="1"/>
  <c r="J95" i="1"/>
  <c r="J107" i="1"/>
  <c r="O81" i="1"/>
  <c r="O93" i="1"/>
  <c r="O99" i="1"/>
  <c r="P83" i="1"/>
  <c r="P96" i="1"/>
  <c r="O83" i="1"/>
  <c r="O96" i="1"/>
  <c r="P82" i="1"/>
  <c r="P94" i="1"/>
  <c r="O82" i="1"/>
  <c r="O94" i="1"/>
  <c r="P81" i="1"/>
  <c r="P93" i="1"/>
  <c r="P77" i="1"/>
  <c r="K94" i="1"/>
  <c r="K106" i="1"/>
  <c r="O77" i="1"/>
  <c r="J96" i="1"/>
  <c r="J108" i="1"/>
  <c r="P78" i="1"/>
  <c r="K95" i="1"/>
  <c r="K107" i="1"/>
  <c r="K99" i="1"/>
  <c r="P99" i="1"/>
  <c r="P105" i="1"/>
  <c r="P108" i="1"/>
  <c r="P102" i="1"/>
  <c r="K96" i="1"/>
  <c r="K108" i="1"/>
  <c r="P95" i="1"/>
  <c r="O105" i="1"/>
  <c r="P106" i="1"/>
  <c r="P100" i="1"/>
  <c r="O100" i="1"/>
  <c r="O106" i="1"/>
  <c r="O102" i="1"/>
  <c r="O108" i="1"/>
  <c r="O95" i="1"/>
  <c r="P101" i="1"/>
  <c r="P107" i="1"/>
  <c r="O107" i="1"/>
  <c r="O101" i="1"/>
  <c r="J101" i="1"/>
  <c r="K101" i="1"/>
  <c r="O76" i="1"/>
  <c r="J93" i="1"/>
  <c r="J99" i="1"/>
  <c r="J105" i="1"/>
  <c r="J94" i="1"/>
  <c r="K100" i="1"/>
  <c r="J102" i="1"/>
  <c r="K102" i="1"/>
  <c r="J100" i="1"/>
  <c r="J106" i="1"/>
  <c r="J54" i="1"/>
  <c r="J60" i="1"/>
  <c r="J59" i="1"/>
  <c r="D76" i="1"/>
  <c r="D77" i="1"/>
  <c r="D78" i="1"/>
  <c r="E31" i="2"/>
  <c r="E34" i="2"/>
  <c r="D31" i="2"/>
  <c r="D34" i="2"/>
  <c r="C31" i="2"/>
  <c r="C26" i="2"/>
  <c r="G41" i="2"/>
  <c r="G40" i="2"/>
  <c r="C41" i="2"/>
  <c r="C40" i="2"/>
  <c r="B41" i="2"/>
  <c r="B40" i="2"/>
  <c r="E18" i="2"/>
  <c r="E17" i="2"/>
  <c r="D26" i="2"/>
  <c r="E26" i="2"/>
  <c r="C17" i="2"/>
  <c r="F18" i="2"/>
  <c r="F17" i="2"/>
  <c r="B17" i="2"/>
  <c r="B18" i="2"/>
  <c r="G17" i="2"/>
  <c r="C18" i="2"/>
  <c r="G18" i="2"/>
  <c r="P31" i="1"/>
  <c r="V47" i="1"/>
  <c r="W17" i="1"/>
  <c r="W16" i="1"/>
  <c r="V10" i="1"/>
  <c r="V7" i="1"/>
  <c r="V6" i="1"/>
  <c r="V24" i="1"/>
  <c r="V25" i="1"/>
  <c r="V26" i="1"/>
  <c r="W32" i="1"/>
  <c r="V32" i="1"/>
  <c r="W31" i="1"/>
  <c r="W34" i="1"/>
  <c r="W33" i="1"/>
  <c r="W13" i="1"/>
  <c r="V23" i="1"/>
  <c r="V22" i="1"/>
  <c r="V27" i="1"/>
  <c r="V15" i="1"/>
  <c r="V16" i="1"/>
  <c r="V34" i="1"/>
  <c r="W14" i="1"/>
  <c r="W15" i="1"/>
  <c r="D111" i="1"/>
  <c r="O28" i="1"/>
  <c r="P27" i="1"/>
  <c r="P21" i="1"/>
  <c r="O21" i="1"/>
  <c r="O20" i="1"/>
  <c r="O17" i="1"/>
  <c r="P16" i="1"/>
  <c r="P9" i="1"/>
  <c r="O9" i="1"/>
  <c r="V9" i="1"/>
  <c r="O8" i="1"/>
  <c r="V8" i="1"/>
  <c r="P7" i="1"/>
  <c r="V33" i="1"/>
  <c r="O24" i="1"/>
  <c r="O31" i="1"/>
  <c r="P8" i="1"/>
  <c r="P17" i="1"/>
  <c r="P28" i="1"/>
  <c r="V41" i="1"/>
  <c r="O30" i="1"/>
  <c r="K7" i="1"/>
  <c r="H7" i="1"/>
  <c r="I7" i="1"/>
  <c r="H12" i="1"/>
  <c r="I12" i="1"/>
  <c r="K12" i="1"/>
  <c r="J62" i="1"/>
  <c r="D94" i="1"/>
  <c r="D93" i="1"/>
  <c r="D92" i="1"/>
  <c r="P30" i="1"/>
  <c r="I11" i="1"/>
  <c r="K6" i="1"/>
  <c r="I6" i="1"/>
  <c r="K10" i="1"/>
  <c r="H10" i="1"/>
  <c r="I10" i="1"/>
  <c r="K5" i="1"/>
  <c r="I5" i="1"/>
  <c r="W44" i="1"/>
  <c r="D32" i="1"/>
  <c r="H4" i="3"/>
  <c r="L4" i="3"/>
  <c r="I59" i="1"/>
  <c r="H33" i="3"/>
  <c r="L33" i="3"/>
  <c r="H19" i="3"/>
  <c r="L19" i="3"/>
  <c r="H12" i="3"/>
  <c r="L12" i="3"/>
  <c r="H10" i="3"/>
  <c r="L10" i="3"/>
  <c r="H17" i="3"/>
  <c r="L17" i="3"/>
  <c r="H14" i="3"/>
  <c r="L14" i="3"/>
  <c r="H28" i="3"/>
  <c r="L28" i="3"/>
  <c r="H30" i="3"/>
  <c r="L30" i="3"/>
  <c r="H9" i="3"/>
  <c r="L9" i="3"/>
  <c r="H7" i="3"/>
  <c r="L7" i="3"/>
  <c r="H26" i="3"/>
  <c r="L26" i="3"/>
  <c r="H24" i="3"/>
  <c r="L24" i="3"/>
  <c r="H29" i="3"/>
  <c r="L29" i="3"/>
  <c r="H16" i="3"/>
  <c r="L16" i="3"/>
  <c r="H15" i="3"/>
  <c r="L15" i="3"/>
  <c r="H34" i="3"/>
  <c r="L34" i="3"/>
  <c r="H32" i="3"/>
  <c r="L32" i="3"/>
  <c r="H22" i="3"/>
  <c r="L22" i="3"/>
  <c r="H27" i="3"/>
  <c r="L27" i="3"/>
  <c r="H31" i="3"/>
  <c r="L31" i="3"/>
  <c r="H23" i="3"/>
  <c r="L23" i="3"/>
  <c r="H20" i="3"/>
  <c r="L20" i="3"/>
  <c r="H5" i="3"/>
  <c r="L5" i="3"/>
  <c r="H25" i="3"/>
  <c r="L25" i="3"/>
  <c r="H6" i="3"/>
  <c r="L6" i="3"/>
  <c r="H18" i="3"/>
  <c r="L18" i="3"/>
  <c r="H21" i="3"/>
  <c r="L21" i="3"/>
  <c r="H13" i="3"/>
  <c r="L13" i="3"/>
  <c r="H11" i="3"/>
  <c r="L11" i="3"/>
  <c r="H8" i="3"/>
  <c r="L8" i="3"/>
  <c r="I61" i="1"/>
  <c r="C34" i="2"/>
  <c r="C29" i="2"/>
  <c r="D109" i="1"/>
  <c r="D110" i="1"/>
  <c r="D112" i="1"/>
  <c r="D113" i="1"/>
  <c r="D114" i="1"/>
  <c r="D107" i="1"/>
  <c r="I60" i="1"/>
  <c r="K62" i="1"/>
  <c r="D17" i="2"/>
  <c r="D18" i="2"/>
  <c r="D97" i="1"/>
  <c r="D99" i="1"/>
  <c r="W23" i="1"/>
  <c r="W26" i="1"/>
  <c r="W24" i="1"/>
  <c r="W25" i="1"/>
  <c r="W6" i="1"/>
  <c r="W10" i="1"/>
  <c r="W9" i="1"/>
  <c r="W7" i="1"/>
  <c r="W8" i="1"/>
  <c r="D95" i="1"/>
  <c r="D98" i="1"/>
  <c r="D34" i="1"/>
  <c r="D35" i="1"/>
  <c r="K60" i="1"/>
  <c r="N60" i="1"/>
  <c r="F5" i="3"/>
  <c r="J5" i="3"/>
  <c r="F30" i="3"/>
  <c r="J30" i="3"/>
  <c r="F16" i="3"/>
  <c r="J16" i="3"/>
  <c r="F11" i="3"/>
  <c r="J11" i="3"/>
  <c r="F33" i="3"/>
  <c r="J33" i="3"/>
  <c r="F10" i="3"/>
  <c r="J10" i="3"/>
  <c r="F4" i="3"/>
  <c r="J4" i="3"/>
  <c r="F21" i="3"/>
  <c r="J21" i="3"/>
  <c r="F28" i="3"/>
  <c r="J28" i="3"/>
  <c r="F26" i="3"/>
  <c r="J26" i="3"/>
  <c r="F29" i="3"/>
  <c r="J29" i="3"/>
  <c r="F15" i="3"/>
  <c r="J15" i="3"/>
  <c r="F32" i="3"/>
  <c r="J32" i="3"/>
  <c r="F14" i="3"/>
  <c r="J14" i="3"/>
  <c r="F12" i="3"/>
  <c r="J12" i="3"/>
  <c r="F34" i="3"/>
  <c r="J34" i="3"/>
  <c r="F24" i="3"/>
  <c r="J24" i="3"/>
  <c r="F27" i="3"/>
  <c r="J27" i="3"/>
  <c r="F18" i="3"/>
  <c r="J18" i="3"/>
  <c r="F22" i="3"/>
  <c r="J22" i="3"/>
  <c r="F25" i="3"/>
  <c r="J25" i="3"/>
  <c r="F13" i="3"/>
  <c r="J13" i="3"/>
  <c r="F9" i="3"/>
  <c r="J9" i="3"/>
  <c r="F7" i="3"/>
  <c r="J7" i="3"/>
  <c r="F20" i="3"/>
  <c r="J20" i="3"/>
  <c r="F23" i="3"/>
  <c r="J23" i="3"/>
  <c r="F6" i="3"/>
  <c r="J6" i="3"/>
  <c r="F8" i="3"/>
  <c r="J8" i="3"/>
  <c r="F31" i="3"/>
  <c r="J31" i="3"/>
  <c r="F19" i="3"/>
  <c r="J19" i="3"/>
  <c r="F17" i="3"/>
  <c r="J17" i="3"/>
  <c r="E24" i="3"/>
  <c r="I24" i="3"/>
  <c r="E18" i="3"/>
  <c r="I18" i="3"/>
  <c r="E22" i="3"/>
  <c r="I22" i="3"/>
  <c r="E26" i="3"/>
  <c r="I26" i="3"/>
  <c r="E20" i="3"/>
  <c r="I20" i="3"/>
  <c r="E28" i="3"/>
  <c r="I28" i="3"/>
  <c r="E4" i="3"/>
  <c r="I4" i="3"/>
  <c r="E34" i="3"/>
  <c r="I34" i="3"/>
  <c r="E27" i="3"/>
  <c r="I27" i="3"/>
  <c r="E31" i="3"/>
  <c r="I31" i="3"/>
  <c r="E8" i="3"/>
  <c r="I8" i="3"/>
  <c r="E32" i="3"/>
  <c r="I32" i="3"/>
  <c r="E10" i="3"/>
  <c r="I10" i="3"/>
  <c r="E25" i="3"/>
  <c r="I25" i="3"/>
  <c r="E5" i="3"/>
  <c r="I5" i="3"/>
  <c r="E9" i="3"/>
  <c r="I9" i="3"/>
  <c r="E12" i="3"/>
  <c r="I12" i="3"/>
  <c r="E23" i="3"/>
  <c r="I23" i="3"/>
  <c r="E11" i="3"/>
  <c r="I11" i="3"/>
  <c r="E33" i="3"/>
  <c r="I33" i="3"/>
  <c r="E30" i="3"/>
  <c r="I30" i="3"/>
  <c r="E21" i="3"/>
  <c r="I21" i="3"/>
  <c r="E15" i="3"/>
  <c r="I15" i="3"/>
  <c r="E13" i="3"/>
  <c r="I13" i="3"/>
  <c r="E19" i="3"/>
  <c r="I19" i="3"/>
  <c r="E7" i="3"/>
  <c r="I7" i="3"/>
  <c r="E17" i="3"/>
  <c r="I17" i="3"/>
  <c r="E6" i="3"/>
  <c r="I6" i="3"/>
  <c r="E14" i="3"/>
  <c r="I14" i="3"/>
  <c r="E29" i="3"/>
  <c r="I29" i="3"/>
  <c r="E16" i="3"/>
  <c r="I16" i="3"/>
  <c r="K61" i="1"/>
  <c r="G26" i="3"/>
  <c r="G4" i="3"/>
  <c r="G27" i="3"/>
  <c r="G6" i="3"/>
  <c r="G16" i="3"/>
  <c r="G22" i="3"/>
  <c r="G23" i="3"/>
  <c r="G24" i="3"/>
  <c r="G17" i="3"/>
  <c r="G25" i="3"/>
  <c r="G34" i="3"/>
  <c r="G13" i="3"/>
  <c r="G12" i="3"/>
  <c r="G10" i="3"/>
  <c r="G33" i="3"/>
  <c r="G7" i="3"/>
  <c r="G21" i="3"/>
  <c r="G32" i="3"/>
  <c r="G20" i="3"/>
  <c r="G18" i="3"/>
  <c r="G19" i="3"/>
  <c r="G14" i="3"/>
  <c r="G9" i="3"/>
  <c r="G30" i="3"/>
  <c r="G11" i="3"/>
  <c r="G15" i="3"/>
  <c r="G28" i="3"/>
  <c r="G5" i="3"/>
  <c r="G29" i="3"/>
  <c r="G31" i="3"/>
  <c r="G8" i="3"/>
  <c r="N62" i="1"/>
  <c r="W22" i="1"/>
  <c r="W27" i="1"/>
  <c r="J61" i="1"/>
  <c r="C32" i="2"/>
  <c r="C23" i="2"/>
  <c r="I65" i="1"/>
  <c r="K59" i="1"/>
  <c r="P24" i="1"/>
  <c r="W41" i="1"/>
  <c r="W47" i="1"/>
  <c r="D115" i="1"/>
  <c r="D108" i="1"/>
  <c r="N61" i="1"/>
  <c r="K5" i="3"/>
  <c r="K8" i="3"/>
  <c r="K9" i="3"/>
  <c r="K29" i="3"/>
  <c r="K19" i="3"/>
  <c r="K12" i="3"/>
  <c r="K31" i="3"/>
  <c r="K14" i="3"/>
  <c r="K10" i="3"/>
  <c r="K33" i="3"/>
  <c r="K22" i="3"/>
  <c r="K16" i="3"/>
  <c r="K18" i="3"/>
  <c r="K13" i="3"/>
  <c r="K23" i="3"/>
  <c r="K6" i="3"/>
  <c r="K28" i="3"/>
  <c r="K34" i="3"/>
  <c r="K27" i="3"/>
  <c r="K25" i="3"/>
  <c r="K32" i="3"/>
  <c r="K4" i="3"/>
  <c r="K11" i="3"/>
  <c r="K21" i="3"/>
  <c r="K17" i="3"/>
  <c r="K26" i="3"/>
  <c r="K20" i="3"/>
  <c r="K15" i="3"/>
  <c r="O15" i="3"/>
  <c r="K30" i="3"/>
  <c r="K7" i="3"/>
  <c r="K24" i="3"/>
  <c r="N59" i="1"/>
  <c r="K65" i="1"/>
  <c r="M14" i="1"/>
  <c r="V15" i="3"/>
  <c r="R15" i="3"/>
  <c r="T15" i="3"/>
  <c r="O1" i="3"/>
  <c r="N22" i="3"/>
  <c r="O19" i="3"/>
  <c r="N4" i="3"/>
  <c r="O28" i="3"/>
  <c r="N24" i="3"/>
  <c r="O14" i="3"/>
  <c r="O27" i="3"/>
  <c r="N25" i="3"/>
  <c r="O34" i="3"/>
  <c r="N14" i="3"/>
  <c r="I68" i="1"/>
  <c r="O22" i="3"/>
  <c r="N6" i="3"/>
  <c r="N18" i="3"/>
  <c r="N17" i="3"/>
  <c r="N20" i="3"/>
  <c r="N16" i="3"/>
  <c r="O33" i="3"/>
  <c r="N21" i="3"/>
  <c r="O30" i="3"/>
  <c r="O26" i="3"/>
  <c r="O17" i="3"/>
  <c r="N7" i="3"/>
  <c r="O10" i="3"/>
  <c r="N31" i="3"/>
  <c r="O29" i="3"/>
  <c r="N26" i="3"/>
  <c r="N29" i="3"/>
  <c r="O20" i="3"/>
  <c r="O11" i="3"/>
  <c r="N11" i="3"/>
  <c r="N27" i="3"/>
  <c r="O8" i="3"/>
  <c r="O6" i="3"/>
  <c r="O21" i="3"/>
  <c r="O25" i="3"/>
  <c r="O13" i="3"/>
  <c r="N33" i="3"/>
  <c r="N19" i="3"/>
  <c r="O18" i="3"/>
  <c r="O32" i="3"/>
  <c r="N23" i="3"/>
  <c r="N30" i="3"/>
  <c r="N5" i="3"/>
  <c r="O24" i="3"/>
  <c r="O4" i="3"/>
  <c r="N12" i="3"/>
  <c r="N9" i="3"/>
  <c r="O7" i="3"/>
  <c r="O23" i="3"/>
  <c r="N34" i="3"/>
  <c r="O5" i="3"/>
  <c r="N28" i="3"/>
  <c r="N13" i="3"/>
  <c r="N10" i="3"/>
  <c r="N8" i="3"/>
  <c r="N15" i="3"/>
  <c r="O12" i="3"/>
  <c r="O16" i="3"/>
  <c r="O31" i="3"/>
  <c r="O9" i="3"/>
  <c r="N32" i="3"/>
  <c r="J68" i="1"/>
  <c r="K68" i="1"/>
  <c r="N65" i="1"/>
  <c r="W38" i="1"/>
  <c r="I73" i="1"/>
  <c r="U26" i="3"/>
  <c r="Q26" i="3"/>
  <c r="S26" i="3"/>
  <c r="R31" i="3"/>
  <c r="V31" i="3"/>
  <c r="T31" i="3"/>
  <c r="V5" i="3"/>
  <c r="R5" i="3"/>
  <c r="T5" i="3"/>
  <c r="U5" i="3"/>
  <c r="Q5" i="3"/>
  <c r="S5" i="3"/>
  <c r="T25" i="3"/>
  <c r="R25" i="3"/>
  <c r="V25" i="3"/>
  <c r="S29" i="3"/>
  <c r="U29" i="3"/>
  <c r="Q29" i="3"/>
  <c r="R30" i="3"/>
  <c r="V30" i="3"/>
  <c r="T30" i="3"/>
  <c r="V22" i="3"/>
  <c r="R22" i="3"/>
  <c r="T22" i="3"/>
  <c r="V28" i="3"/>
  <c r="T28" i="3"/>
  <c r="R28" i="3"/>
  <c r="R16" i="3"/>
  <c r="T16" i="3"/>
  <c r="V16" i="3"/>
  <c r="T12" i="3"/>
  <c r="R12" i="3"/>
  <c r="V12" i="3"/>
  <c r="R23" i="3"/>
  <c r="T23" i="3"/>
  <c r="V23" i="3"/>
  <c r="Q23" i="3"/>
  <c r="S23" i="3"/>
  <c r="U23" i="3"/>
  <c r="T6" i="3"/>
  <c r="R6" i="3"/>
  <c r="V6" i="3"/>
  <c r="R29" i="3"/>
  <c r="T29" i="3"/>
  <c r="V29" i="3"/>
  <c r="R33" i="3"/>
  <c r="T33" i="3"/>
  <c r="V33" i="3"/>
  <c r="Q14" i="3"/>
  <c r="S14" i="3"/>
  <c r="U14" i="3"/>
  <c r="T19" i="3"/>
  <c r="V19" i="3"/>
  <c r="R19" i="3"/>
  <c r="U34" i="3"/>
  <c r="S34" i="3"/>
  <c r="Q34" i="3"/>
  <c r="U15" i="3"/>
  <c r="S15" i="3"/>
  <c r="Q15" i="3"/>
  <c r="T7" i="3"/>
  <c r="V7" i="3"/>
  <c r="R7" i="3"/>
  <c r="R32" i="3"/>
  <c r="V32" i="3"/>
  <c r="T32" i="3"/>
  <c r="R8" i="3"/>
  <c r="T8" i="3"/>
  <c r="V8" i="3"/>
  <c r="S31" i="3"/>
  <c r="Q31" i="3"/>
  <c r="U31" i="3"/>
  <c r="U16" i="3"/>
  <c r="S16" i="3"/>
  <c r="Q16" i="3"/>
  <c r="R34" i="3"/>
  <c r="V34" i="3"/>
  <c r="T34" i="3"/>
  <c r="U22" i="3"/>
  <c r="S22" i="3"/>
  <c r="Q22" i="3"/>
  <c r="R21" i="3"/>
  <c r="T21" i="3"/>
  <c r="V21" i="3"/>
  <c r="U8" i="3"/>
  <c r="S8" i="3"/>
  <c r="Q8" i="3"/>
  <c r="Q9" i="3"/>
  <c r="U9" i="3"/>
  <c r="S9" i="3"/>
  <c r="V18" i="3"/>
  <c r="R18" i="3"/>
  <c r="T18" i="3"/>
  <c r="S27" i="3"/>
  <c r="U27" i="3"/>
  <c r="Q27" i="3"/>
  <c r="T10" i="3"/>
  <c r="R10" i="3"/>
  <c r="V10" i="3"/>
  <c r="U20" i="3"/>
  <c r="Q20" i="3"/>
  <c r="S20" i="3"/>
  <c r="S25" i="3"/>
  <c r="Q25" i="3"/>
  <c r="U25" i="3"/>
  <c r="S21" i="3"/>
  <c r="U21" i="3"/>
  <c r="Q21" i="3"/>
  <c r="Q10" i="3"/>
  <c r="U10" i="3"/>
  <c r="S10" i="3"/>
  <c r="S19" i="3"/>
  <c r="U19" i="3"/>
  <c r="Q19" i="3"/>
  <c r="Q11" i="3"/>
  <c r="U11" i="3"/>
  <c r="S11" i="3"/>
  <c r="S7" i="3"/>
  <c r="Q7" i="3"/>
  <c r="U7" i="3"/>
  <c r="U17" i="3"/>
  <c r="Q17" i="3"/>
  <c r="S17" i="3"/>
  <c r="T27" i="3"/>
  <c r="V27" i="3"/>
  <c r="R27" i="3"/>
  <c r="U4" i="3"/>
  <c r="S4" i="3"/>
  <c r="Q4" i="3"/>
  <c r="S12" i="3"/>
  <c r="Q12" i="3"/>
  <c r="U12" i="3"/>
  <c r="Q32" i="3"/>
  <c r="U32" i="3"/>
  <c r="S32" i="3"/>
  <c r="S13" i="3"/>
  <c r="U13" i="3"/>
  <c r="Q13" i="3"/>
  <c r="R4" i="3"/>
  <c r="V4" i="3"/>
  <c r="T4" i="3"/>
  <c r="Q33" i="3"/>
  <c r="U33" i="3"/>
  <c r="S33" i="3"/>
  <c r="R11" i="3"/>
  <c r="V11" i="3"/>
  <c r="T11" i="3"/>
  <c r="V17" i="3"/>
  <c r="T17" i="3"/>
  <c r="R17" i="3"/>
  <c r="U18" i="3"/>
  <c r="Q18" i="3"/>
  <c r="S18" i="3"/>
  <c r="V14" i="3"/>
  <c r="R14" i="3"/>
  <c r="T14" i="3"/>
  <c r="Q30" i="3"/>
  <c r="S30" i="3"/>
  <c r="U30" i="3"/>
  <c r="T9" i="3"/>
  <c r="R9" i="3"/>
  <c r="V9" i="3"/>
  <c r="U28" i="3"/>
  <c r="Q28" i="3"/>
  <c r="S28" i="3"/>
  <c r="V24" i="3"/>
  <c r="R24" i="3"/>
  <c r="T24" i="3"/>
  <c r="V13" i="3"/>
  <c r="R13" i="3"/>
  <c r="T13" i="3"/>
  <c r="V20" i="3"/>
  <c r="T20" i="3"/>
  <c r="R20" i="3"/>
  <c r="V26" i="3"/>
  <c r="R26" i="3"/>
  <c r="T26" i="3"/>
  <c r="S6" i="3"/>
  <c r="Q6" i="3"/>
  <c r="U6" i="3"/>
  <c r="U24" i="3"/>
  <c r="Q24" i="3"/>
  <c r="S24" i="3"/>
  <c r="J71" i="1"/>
  <c r="J73" i="1"/>
  <c r="K72" i="1"/>
  <c r="K73" i="1"/>
  <c r="K71" i="1"/>
  <c r="I72" i="1"/>
  <c r="J72" i="1"/>
  <c r="I71" i="1"/>
  <c r="J23" i="1"/>
  <c r="J22" i="1"/>
</calcChain>
</file>

<file path=xl/sharedStrings.xml><?xml version="1.0" encoding="utf-8"?>
<sst xmlns="http://schemas.openxmlformats.org/spreadsheetml/2006/main" count="348" uniqueCount="219">
  <si>
    <t>Raketengeometrie</t>
  </si>
  <si>
    <t>Länge</t>
  </si>
  <si>
    <t>SP kritisch</t>
  </si>
  <si>
    <t>Spitze</t>
  </si>
  <si>
    <t>Form</t>
  </si>
  <si>
    <t>Flossengeometrie</t>
  </si>
  <si>
    <t>DP-Lage</t>
  </si>
  <si>
    <t>Stabimaß voll</t>
  </si>
  <si>
    <t>Stabimaß kritisch</t>
  </si>
  <si>
    <t>Durchmesser</t>
  </si>
  <si>
    <t>Länge mit Düse</t>
  </si>
  <si>
    <t>Beginn Kompartimente</t>
  </si>
  <si>
    <t>L</t>
  </si>
  <si>
    <t>D</t>
  </si>
  <si>
    <t>L_alles</t>
  </si>
  <si>
    <t>Radius</t>
  </si>
  <si>
    <t>R</t>
  </si>
  <si>
    <t>Spitze Zentralstufe</t>
  </si>
  <si>
    <t>Spitze Kompartimente</t>
  </si>
  <si>
    <t>mm</t>
  </si>
  <si>
    <t xml:space="preserve"> -</t>
  </si>
  <si>
    <t>abstand von Spitze</t>
  </si>
  <si>
    <t>L_spitze</t>
  </si>
  <si>
    <t>CG_full</t>
  </si>
  <si>
    <t>CG_crit</t>
  </si>
  <si>
    <t>Delta kritisch</t>
  </si>
  <si>
    <t>CR</t>
  </si>
  <si>
    <t>CT</t>
  </si>
  <si>
    <t>XR</t>
  </si>
  <si>
    <t>S</t>
  </si>
  <si>
    <t>LF</t>
  </si>
  <si>
    <t>Flossenansicht</t>
  </si>
  <si>
    <t>Flosse</t>
  </si>
  <si>
    <t>innen CR</t>
  </si>
  <si>
    <t>außen CT</t>
  </si>
  <si>
    <t>Dichte</t>
  </si>
  <si>
    <t>Bezugsflügeltiefe LF</t>
  </si>
  <si>
    <t>X_R</t>
  </si>
  <si>
    <t>c_N,Flosse</t>
  </si>
  <si>
    <t>X_DP,Flossen</t>
  </si>
  <si>
    <t>Alter GesamtDP (Roman)</t>
  </si>
  <si>
    <t>Kompartimente</t>
  </si>
  <si>
    <t>GFK</t>
  </si>
  <si>
    <t>rho</t>
  </si>
  <si>
    <t>Flossenmasse</t>
  </si>
  <si>
    <t>Verbund</t>
  </si>
  <si>
    <t>Alu</t>
  </si>
  <si>
    <t>Holz</t>
  </si>
  <si>
    <t>Material</t>
  </si>
  <si>
    <t>Gewicht</t>
  </si>
  <si>
    <t>Dickte</t>
  </si>
  <si>
    <t>g</t>
  </si>
  <si>
    <t>kg/m³</t>
  </si>
  <si>
    <t>n</t>
  </si>
  <si>
    <t>Eingabe</t>
  </si>
  <si>
    <t>Spannweite</t>
  </si>
  <si>
    <t>Kantenlänge Wurzel</t>
  </si>
  <si>
    <t>Kantenlänge Außen</t>
  </si>
  <si>
    <t>Abstand Tip - Wurzel</t>
  </si>
  <si>
    <t>Ausgabe</t>
  </si>
  <si>
    <t>Kraftkoeffizienten</t>
  </si>
  <si>
    <t>Kr.-Koeff. Spitze</t>
  </si>
  <si>
    <t>Kr.-Koeff. Flossen</t>
  </si>
  <si>
    <t>Kr.-Koeff. Komp.</t>
  </si>
  <si>
    <t>Gesamt DP-Lage</t>
  </si>
  <si>
    <t>DP LageFlossen</t>
  </si>
  <si>
    <t>Stabilität</t>
  </si>
  <si>
    <t>caliber</t>
  </si>
  <si>
    <t>Berechnung Barrowman</t>
  </si>
  <si>
    <t>Flossen</t>
  </si>
  <si>
    <t>X_b</t>
  </si>
  <si>
    <t>konisch</t>
  </si>
  <si>
    <t>ogiv</t>
  </si>
  <si>
    <t>parabolisch</t>
  </si>
  <si>
    <t>DP-Lage Spitze</t>
  </si>
  <si>
    <t>Xn_Spitze</t>
  </si>
  <si>
    <t>Cn_Spitze</t>
  </si>
  <si>
    <t xml:space="preserve">Spannweite </t>
  </si>
  <si>
    <t>Pfeilung</t>
  </si>
  <si>
    <t>ϕ</t>
  </si>
  <si>
    <t>°</t>
  </si>
  <si>
    <t>X_DP,Flossen_original</t>
  </si>
  <si>
    <t>Berechnungsart</t>
  </si>
  <si>
    <t>Komp. als Flossen</t>
  </si>
  <si>
    <t>Nur Spitze</t>
  </si>
  <si>
    <t>Gar nicht</t>
  </si>
  <si>
    <t>Körper</t>
  </si>
  <si>
    <t>Länge Komp</t>
  </si>
  <si>
    <t>Durchmesser Komp</t>
  </si>
  <si>
    <t>L_Komp</t>
  </si>
  <si>
    <t>D_Komp</t>
  </si>
  <si>
    <t>x_B_Komp</t>
  </si>
  <si>
    <t>Anzahl Komp.</t>
  </si>
  <si>
    <t>n_Komp</t>
  </si>
  <si>
    <t>c_N,Komp</t>
  </si>
  <si>
    <t>X_DP,Komp</t>
  </si>
  <si>
    <t>X_DP,Komp_original</t>
  </si>
  <si>
    <t>X_DP_Barr1</t>
  </si>
  <si>
    <t>Berechnungsart gewählt</t>
  </si>
  <si>
    <t xml:space="preserve">Berechnung </t>
  </si>
  <si>
    <t>DP-Lage Komp</t>
  </si>
  <si>
    <t>Interference Factor</t>
  </si>
  <si>
    <t>Betrachte Fin Interference Factor</t>
  </si>
  <si>
    <t>K_fb</t>
  </si>
  <si>
    <t>1=Ja; 2= Nein</t>
  </si>
  <si>
    <t>Flossenanzahl</t>
  </si>
  <si>
    <t>(nur für 3-4 oder 6 Flossen)</t>
  </si>
  <si>
    <t>Cmn_full</t>
  </si>
  <si>
    <t>Cmn_crit</t>
  </si>
  <si>
    <t>Flossengrundriss</t>
  </si>
  <si>
    <t>x</t>
  </si>
  <si>
    <t>y</t>
  </si>
  <si>
    <t>Pressure Point</t>
  </si>
  <si>
    <t>25% Linie</t>
  </si>
  <si>
    <t>Aero Mean Chord</t>
  </si>
  <si>
    <t>xR</t>
  </si>
  <si>
    <t>Komp. als Shoulder</t>
  </si>
  <si>
    <t>Cn_Komp</t>
  </si>
  <si>
    <t>Xn_Komp</t>
  </si>
  <si>
    <t>Die Stirnfläche von Kompartimenten und Rakete wird zusammengezählt und ein Segment mit dem Durchmesser einer äquivalenten Fläche konstruiert</t>
  </si>
  <si>
    <t>Fläche Zentralrohr</t>
  </si>
  <si>
    <t>A_zen</t>
  </si>
  <si>
    <t>mm²</t>
  </si>
  <si>
    <t>Fläche 1 Kompartiment</t>
  </si>
  <si>
    <t>A_Komp</t>
  </si>
  <si>
    <t>Gesamtfläche</t>
  </si>
  <si>
    <t>A_Stirn</t>
  </si>
  <si>
    <t>Äquivalenter Durchmess</t>
  </si>
  <si>
    <t>D_equi</t>
  </si>
  <si>
    <t>Durchmesser Zentralrohr</t>
  </si>
  <si>
    <t>D_Zen</t>
  </si>
  <si>
    <t>Cn_shoulder</t>
  </si>
  <si>
    <t>xn_shoulder</t>
  </si>
  <si>
    <t>Raketenansicht</t>
  </si>
  <si>
    <t>Rakete grundriss</t>
  </si>
  <si>
    <t>Spitze Zentral</t>
  </si>
  <si>
    <t>Pressure Point Flossen</t>
  </si>
  <si>
    <t>Pressure Point Spitze</t>
  </si>
  <si>
    <t>Pressure Point Kompartimente</t>
  </si>
  <si>
    <t>Anzahl Flossen</t>
  </si>
  <si>
    <t>MD</t>
  </si>
  <si>
    <t>SSPAN</t>
  </si>
  <si>
    <t>Chord</t>
  </si>
  <si>
    <t>XLE</t>
  </si>
  <si>
    <t>Zupper</t>
  </si>
  <si>
    <t>LMAXU</t>
  </si>
  <si>
    <t>LFLATU</t>
  </si>
  <si>
    <t>LER</t>
  </si>
  <si>
    <t>Anspitzen der Kante</t>
  </si>
  <si>
    <t>vorne</t>
  </si>
  <si>
    <t>hinten</t>
  </si>
  <si>
    <t>FLTCON</t>
  </si>
  <si>
    <t>FINSET</t>
  </si>
  <si>
    <t>AXIBOD</t>
  </si>
  <si>
    <t>PROTUB</t>
  </si>
  <si>
    <t>Horizontal Cylinder</t>
  </si>
  <si>
    <t>Distance from Nose</t>
  </si>
  <si>
    <t>Member</t>
  </si>
  <si>
    <t>Length</t>
  </si>
  <si>
    <t>Width</t>
  </si>
  <si>
    <t>Height</t>
  </si>
  <si>
    <t>Offset</t>
  </si>
  <si>
    <t>FINSET Trapez</t>
  </si>
  <si>
    <t>vertikaler + horizontal</t>
  </si>
  <si>
    <t>fläche</t>
  </si>
  <si>
    <t>m²</t>
  </si>
  <si>
    <t>cm^2</t>
  </si>
  <si>
    <t>Abstand XR bei Pfeilung</t>
  </si>
  <si>
    <t>Gesamtgewicht (n Flossen)</t>
  </si>
  <si>
    <t>Berechnung Windkorrektur</t>
  </si>
  <si>
    <t>A_plan</t>
  </si>
  <si>
    <t>X_plan</t>
  </si>
  <si>
    <t>cNa^2</t>
  </si>
  <si>
    <t>Eingabe Windkorrektur:</t>
  </si>
  <si>
    <t>K</t>
  </si>
  <si>
    <t>1,1…1,5</t>
  </si>
  <si>
    <t>alpha_grad</t>
  </si>
  <si>
    <t>rad</t>
  </si>
  <si>
    <t xml:space="preserve">alpha </t>
  </si>
  <si>
    <t>Anstellwinkel</t>
  </si>
  <si>
    <t>Spitze Komp</t>
  </si>
  <si>
    <t>Körper Komp</t>
  </si>
  <si>
    <t>Gesamt</t>
  </si>
  <si>
    <t>X*c_Na^2</t>
  </si>
  <si>
    <t>Gesamt DP</t>
  </si>
  <si>
    <t>Stabimaß</t>
  </si>
  <si>
    <t>voll</t>
  </si>
  <si>
    <t>kritisch</t>
  </si>
  <si>
    <t>original</t>
  </si>
  <si>
    <t>korrigiert (frontal)</t>
  </si>
  <si>
    <t>kritische Geschw.</t>
  </si>
  <si>
    <t>leer</t>
  </si>
  <si>
    <t>m/s</t>
  </si>
  <si>
    <t>v(t_b/2)</t>
  </si>
  <si>
    <t>Startturm Geschw</t>
  </si>
  <si>
    <t>v(t=1s)</t>
  </si>
  <si>
    <t>Brennschluss Geschw</t>
  </si>
  <si>
    <t>startturm</t>
  </si>
  <si>
    <t>korrigiert (seite)</t>
  </si>
  <si>
    <t>neutral ab °</t>
  </si>
  <si>
    <t xml:space="preserve">Brennschluss </t>
  </si>
  <si>
    <t>Apogäum</t>
  </si>
  <si>
    <t>v(t_b)</t>
  </si>
  <si>
    <t>Maximal erlaubter seitenwind [m/s]</t>
  </si>
  <si>
    <t>Maximal erlaubter seitenwind [km/h]</t>
  </si>
  <si>
    <t>Maximal erlaubter seitenwind [bft]</t>
  </si>
  <si>
    <t>SP-Lage leer</t>
  </si>
  <si>
    <t>CG_empty</t>
  </si>
  <si>
    <t>Worst Case mit Sicherheit von 0,5 cal</t>
  </si>
  <si>
    <t>ohne Sicherheit</t>
  </si>
  <si>
    <t>mit sicherheit</t>
  </si>
  <si>
    <t>alpha</t>
  </si>
  <si>
    <t>alpha rad</t>
  </si>
  <si>
    <t>Fall 1</t>
  </si>
  <si>
    <t>Fall 2</t>
  </si>
  <si>
    <t>DP</t>
  </si>
  <si>
    <t>Kontrolle:</t>
  </si>
  <si>
    <t>SP-Lage voll</t>
  </si>
  <si>
    <t>Delta 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</si>
</sst>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"/>
    <numFmt numFmtId="167" formatCode="#,##0.0000"/>
    <numFmt numFmtId="168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2" fillId="0" borderId="1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/>
    <xf numFmtId="0" fontId="1" fillId="0" borderId="0" xfId="0" applyFont="1" applyBorder="1"/>
    <xf numFmtId="0" fontId="0" fillId="0" borderId="0" xfId="0" applyFont="1" applyFill="1" applyBorder="1"/>
    <xf numFmtId="0" fontId="2" fillId="0" borderId="4" xfId="0" applyFont="1" applyBorder="1"/>
    <xf numFmtId="165" fontId="0" fillId="0" borderId="3" xfId="0" applyNumberForma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Fill="1" applyBorder="1" applyAlignment="1">
      <alignment wrapText="1"/>
    </xf>
    <xf numFmtId="2" fontId="0" fillId="0" borderId="3" xfId="0" applyNumberFormat="1" applyBorder="1"/>
    <xf numFmtId="0" fontId="0" fillId="0" borderId="2" xfId="0" applyBorder="1" applyAlignment="1">
      <alignment wrapText="1"/>
    </xf>
    <xf numFmtId="0" fontId="2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2" fontId="1" fillId="0" borderId="0" xfId="0" applyNumberFormat="1" applyFont="1" applyBorder="1"/>
    <xf numFmtId="0" fontId="1" fillId="0" borderId="2" xfId="0" applyFont="1" applyBorder="1"/>
    <xf numFmtId="165" fontId="1" fillId="0" borderId="0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165" fontId="0" fillId="0" borderId="20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1" xfId="0" applyNumberFormat="1" applyBorder="1"/>
    <xf numFmtId="2" fontId="0" fillId="0" borderId="2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164" fontId="0" fillId="0" borderId="0" xfId="0" applyNumberFormat="1"/>
    <xf numFmtId="167" fontId="0" fillId="0" borderId="0" xfId="0" applyNumberFormat="1"/>
    <xf numFmtId="166" fontId="0" fillId="0" borderId="0" xfId="0" applyNumberFormat="1" applyBorder="1"/>
    <xf numFmtId="3" fontId="0" fillId="0" borderId="0" xfId="0" applyNumberFormat="1"/>
    <xf numFmtId="0" fontId="0" fillId="0" borderId="23" xfId="0" applyFill="1" applyBorder="1"/>
    <xf numFmtId="0" fontId="0" fillId="0" borderId="27" xfId="0" applyBorder="1"/>
    <xf numFmtId="0" fontId="0" fillId="0" borderId="28" xfId="0" applyFill="1" applyBorder="1"/>
    <xf numFmtId="0" fontId="0" fillId="0" borderId="30" xfId="0" applyFill="1" applyBorder="1"/>
    <xf numFmtId="164" fontId="0" fillId="0" borderId="31" xfId="0" applyNumberFormat="1" applyBorder="1"/>
    <xf numFmtId="165" fontId="0" fillId="0" borderId="0" xfId="0" applyNumberFormat="1"/>
    <xf numFmtId="1" fontId="0" fillId="0" borderId="0" xfId="0" applyNumberFormat="1" applyFill="1" applyBorder="1" applyAlignment="1">
      <alignment wrapText="1"/>
    </xf>
    <xf numFmtId="1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68" fontId="0" fillId="0" borderId="1" xfId="0" applyNumberFormat="1" applyBorder="1"/>
    <xf numFmtId="168" fontId="0" fillId="0" borderId="2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29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5" xfId="0" applyBorder="1" applyAlignment="1">
      <alignment horizontal="center"/>
    </xf>
    <xf numFmtId="164" fontId="0" fillId="0" borderId="7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2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5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4530144032496"/>
          <c:y val="0.0610643596424304"/>
          <c:w val="0.625966640717722"/>
          <c:h val="0.91187282576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Barrowman!$O$4</c:f>
              <c:strCache>
                <c:ptCount val="1"/>
                <c:pt idx="0">
                  <c:v>Flossengrundriss</c:v>
                </c:pt>
              </c:strCache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Barrowman!$O$6:$O$10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208.0</c:v>
                </c:pt>
                <c:pt idx="3">
                  <c:v>208.0</c:v>
                </c:pt>
                <c:pt idx="4">
                  <c:v>0.0</c:v>
                </c:pt>
              </c:numCache>
            </c:numRef>
          </c:xVal>
          <c:yVal>
            <c:numRef>
              <c:f>Barrowman!$P$6:$P$10</c:f>
              <c:numCache>
                <c:formatCode>General</c:formatCode>
                <c:ptCount val="5"/>
                <c:pt idx="0">
                  <c:v>0.0</c:v>
                </c:pt>
                <c:pt idx="1">
                  <c:v>160.0</c:v>
                </c:pt>
                <c:pt idx="2">
                  <c:v>230.0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42-4065-B091-D5B06C69CCB5}"/>
            </c:ext>
          </c:extLst>
        </c:ser>
        <c:ser>
          <c:idx val="2"/>
          <c:order val="1"/>
          <c:tx>
            <c:v>x_R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Barrowman!$O$20:$O$21</c:f>
              <c:numCache>
                <c:formatCode>General</c:formatCode>
                <c:ptCount val="2"/>
                <c:pt idx="0">
                  <c:v>208.0</c:v>
                </c:pt>
                <c:pt idx="1">
                  <c:v>208.0</c:v>
                </c:pt>
              </c:numCache>
            </c:numRef>
          </c:xVal>
          <c:yVal>
            <c:numRef>
              <c:f>Barrowman!$P$20:$P$21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42-4065-B091-D5B06C69CCB5}"/>
            </c:ext>
          </c:extLst>
        </c:ser>
        <c:ser>
          <c:idx val="4"/>
          <c:order val="2"/>
          <c:tx>
            <c:v>25% - Line</c:v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Barrowman!$O$27:$O$28</c:f>
              <c:numCache>
                <c:formatCode>General</c:formatCode>
                <c:ptCount val="2"/>
                <c:pt idx="0">
                  <c:v>0.0</c:v>
                </c:pt>
                <c:pt idx="1">
                  <c:v>208.0</c:v>
                </c:pt>
              </c:numCache>
            </c:numRef>
          </c:xVal>
          <c:yVal>
            <c:numRef>
              <c:f>Barrowman!$P$27:$P$28</c:f>
              <c:numCache>
                <c:formatCode>General</c:formatCode>
                <c:ptCount val="2"/>
                <c:pt idx="0">
                  <c:v>40.0</c:v>
                </c:pt>
                <c:pt idx="1">
                  <c:v>57.5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42-4065-B091-D5B06C69CCB5}"/>
            </c:ext>
          </c:extLst>
        </c:ser>
        <c:ser>
          <c:idx val="1"/>
          <c:order val="3"/>
          <c:tx>
            <c:v>L / 50% - Linie</c:v>
          </c:tx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prstDash val="sys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C42-4065-B091-D5B06C69CCB5}"/>
              </c:ext>
            </c:extLst>
          </c:dPt>
          <c:xVal>
            <c:numRef>
              <c:f>Barrowman!$O$16:$O$17</c:f>
              <c:numCache>
                <c:formatCode>General</c:formatCode>
                <c:ptCount val="2"/>
                <c:pt idx="0">
                  <c:v>0.0</c:v>
                </c:pt>
                <c:pt idx="1">
                  <c:v>208.0</c:v>
                </c:pt>
              </c:numCache>
            </c:numRef>
          </c:xVal>
          <c:yVal>
            <c:numRef>
              <c:f>Barrowman!$P$16:$P$17</c:f>
              <c:numCache>
                <c:formatCode>General</c:formatCode>
                <c:ptCount val="2"/>
                <c:pt idx="0">
                  <c:v>80.0</c:v>
                </c:pt>
                <c:pt idx="1">
                  <c:v>115.0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42-4065-B091-D5B06C69CCB5}"/>
            </c:ext>
          </c:extLst>
        </c:ser>
        <c:ser>
          <c:idx val="5"/>
          <c:order val="4"/>
          <c:tx>
            <c:v>Aerodynamic Mean Chord</c:v>
          </c:tx>
          <c:spPr>
            <a:ln w="254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Barrowman!$O$30:$O$31</c:f>
              <c:numCache>
                <c:formatCode>0.00</c:formatCode>
                <c:ptCount val="2"/>
                <c:pt idx="0">
                  <c:v>110.2222222222222</c:v>
                </c:pt>
                <c:pt idx="1">
                  <c:v>110.2222222222222</c:v>
                </c:pt>
              </c:numCache>
            </c:numRef>
          </c:xVal>
          <c:yVal>
            <c:numRef>
              <c:f>Barrowman!$P$30:$P$31</c:f>
              <c:numCache>
                <c:formatCode>0.0</c:formatCode>
                <c:ptCount val="2"/>
                <c:pt idx="0" formatCode="0.00">
                  <c:v>0.0</c:v>
                </c:pt>
                <c:pt idx="1">
                  <c:v>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C42-4065-B091-D5B06C69CCB5}"/>
            </c:ext>
          </c:extLst>
        </c:ser>
        <c:ser>
          <c:idx val="3"/>
          <c:order val="5"/>
          <c:tx>
            <c:v>Pressure Point</c:v>
          </c:tx>
          <c:spPr>
            <a:ln>
              <a:solidFill>
                <a:schemeClr val="bg1"/>
              </a:solidFill>
            </a:ln>
          </c:spPr>
          <c:marker>
            <c:spPr>
              <a:ln w="76200">
                <a:solidFill>
                  <a:schemeClr val="tx1"/>
                </a:solidFill>
              </a:ln>
            </c:spPr>
          </c:marker>
          <c:xVal>
            <c:numRef>
              <c:f>Barrowman!$O$24</c:f>
              <c:numCache>
                <c:formatCode>0.00</c:formatCode>
                <c:ptCount val="1"/>
                <c:pt idx="0">
                  <c:v>110.2222222222222</c:v>
                </c:pt>
              </c:numCache>
            </c:numRef>
          </c:xVal>
          <c:yVal>
            <c:numRef>
              <c:f>Barrowman!$P$24</c:f>
              <c:numCache>
                <c:formatCode>0.00</c:formatCode>
                <c:ptCount val="1"/>
                <c:pt idx="0">
                  <c:v>49.27350427350439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C42-4065-B091-D5B06C69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296"/>
        <c:axId val="501722920"/>
      </c:scatterChart>
      <c:valAx>
        <c:axId val="7082296"/>
        <c:scaling>
          <c:orientation val="minMax"/>
          <c:max val="210.0"/>
          <c:min val="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501722920"/>
        <c:crosses val="autoZero"/>
        <c:crossBetween val="midCat"/>
        <c:majorUnit val="20.0"/>
      </c:valAx>
      <c:valAx>
        <c:axId val="501722920"/>
        <c:scaling>
          <c:orientation val="maxMin"/>
          <c:max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2296"/>
        <c:crosses val="autoZero"/>
        <c:crossBetween val="midCat"/>
        <c:majorUnit val="2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4909157425014"/>
          <c:y val="0.300332207398035"/>
          <c:w val="0.246054867128643"/>
          <c:h val="0.2619512948255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4530144032496"/>
          <c:y val="0.0610643596424304"/>
          <c:w val="0.486024178393336"/>
          <c:h val="0.91187282576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Barrowman!$V$12</c:f>
              <c:strCache>
                <c:ptCount val="1"/>
                <c:pt idx="0">
                  <c:v>Rakete grundriss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Barrowman!$V$13:$V$17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103.5</c:v>
                </c:pt>
                <c:pt idx="3">
                  <c:v>103.5</c:v>
                </c:pt>
                <c:pt idx="4">
                  <c:v>0.0</c:v>
                </c:pt>
              </c:numCache>
            </c:numRef>
          </c:xVal>
          <c:yVal>
            <c:numRef>
              <c:f>Barrowman!$W$13:$W$17</c:f>
              <c:numCache>
                <c:formatCode>General</c:formatCode>
                <c:ptCount val="5"/>
                <c:pt idx="0">
                  <c:v>317.5</c:v>
                </c:pt>
                <c:pt idx="1">
                  <c:v>2372.5</c:v>
                </c:pt>
                <c:pt idx="2">
                  <c:v>2372.5</c:v>
                </c:pt>
                <c:pt idx="3">
                  <c:v>317.5</c:v>
                </c:pt>
                <c:pt idx="4">
                  <c:v>317.5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3A-A9CA-63D50B9951EC}"/>
            </c:ext>
          </c:extLst>
        </c:ser>
        <c:ser>
          <c:idx val="3"/>
          <c:order val="1"/>
          <c:tx>
            <c:v>Pressure Point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76200">
                <a:solidFill>
                  <a:schemeClr val="tx1"/>
                </a:solidFill>
              </a:ln>
            </c:spPr>
          </c:marker>
          <c:xVal>
            <c:numRef>
              <c:f>Barrowman!$V$38</c:f>
              <c:numCache>
                <c:formatCode>0.00</c:formatCode>
                <c:ptCount val="1"/>
                <c:pt idx="0">
                  <c:v>0.0</c:v>
                </c:pt>
              </c:numCache>
            </c:numRef>
          </c:xVal>
          <c:yVal>
            <c:numRef>
              <c:f>Barrowman!$W$38</c:f>
              <c:numCache>
                <c:formatCode>0.00</c:formatCode>
                <c:ptCount val="1"/>
                <c:pt idx="0">
                  <c:v>1654.319910487875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BF-423A-A9CA-63D50B9951EC}"/>
            </c:ext>
          </c:extLst>
        </c:ser>
        <c:ser>
          <c:idx val="1"/>
          <c:order val="2"/>
          <c:tx>
            <c:strRef>
              <c:f>Barrowman!$V$21</c:f>
              <c:strCache>
                <c:ptCount val="1"/>
                <c:pt idx="0">
                  <c:v>Kompartimente</c:v>
                </c:pt>
              </c:strCache>
            </c:strRef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Barrowman!$V$22:$V$27</c:f>
              <c:numCache>
                <c:formatCode>General</c:formatCode>
                <c:ptCount val="6"/>
                <c:pt idx="0">
                  <c:v>179.0</c:v>
                </c:pt>
                <c:pt idx="1">
                  <c:v>103.5</c:v>
                </c:pt>
                <c:pt idx="2">
                  <c:v>103.5</c:v>
                </c:pt>
                <c:pt idx="3">
                  <c:v>254.5</c:v>
                </c:pt>
                <c:pt idx="4">
                  <c:v>254.5</c:v>
                </c:pt>
                <c:pt idx="5">
                  <c:v>179.0</c:v>
                </c:pt>
              </c:numCache>
            </c:numRef>
          </c:xVal>
          <c:yVal>
            <c:numRef>
              <c:f>Barrowman!$W$22:$W$27</c:f>
              <c:numCache>
                <c:formatCode>General</c:formatCode>
                <c:ptCount val="6"/>
                <c:pt idx="0">
                  <c:v>1237.4</c:v>
                </c:pt>
                <c:pt idx="1">
                  <c:v>1472.5</c:v>
                </c:pt>
                <c:pt idx="2">
                  <c:v>2272.5</c:v>
                </c:pt>
                <c:pt idx="3">
                  <c:v>2272.5</c:v>
                </c:pt>
                <c:pt idx="4">
                  <c:v>1472.5</c:v>
                </c:pt>
                <c:pt idx="5">
                  <c:v>1237.4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BF-423A-A9CA-63D50B9951EC}"/>
            </c:ext>
          </c:extLst>
        </c:ser>
        <c:ser>
          <c:idx val="2"/>
          <c:order val="3"/>
          <c:tx>
            <c:strRef>
              <c:f>Barrowman!$V$4</c:f>
              <c:strCache>
                <c:ptCount val="1"/>
                <c:pt idx="0">
                  <c:v>Flossen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Barrowman!$V$6:$V$10</c:f>
              <c:numCache>
                <c:formatCode>General</c:formatCode>
                <c:ptCount val="5"/>
                <c:pt idx="0">
                  <c:v>103.5</c:v>
                </c:pt>
                <c:pt idx="1">
                  <c:v>103.5</c:v>
                </c:pt>
                <c:pt idx="2">
                  <c:v>311.5</c:v>
                </c:pt>
                <c:pt idx="3">
                  <c:v>311.5</c:v>
                </c:pt>
                <c:pt idx="4">
                  <c:v>103.5</c:v>
                </c:pt>
              </c:numCache>
            </c:numRef>
          </c:xVal>
          <c:yVal>
            <c:numRef>
              <c:f>Barrowman!$W$6:$W$10</c:f>
              <c:numCache>
                <c:formatCode>General</c:formatCode>
                <c:ptCount val="5"/>
                <c:pt idx="0">
                  <c:v>2092.5</c:v>
                </c:pt>
                <c:pt idx="1">
                  <c:v>2252.5</c:v>
                </c:pt>
                <c:pt idx="2">
                  <c:v>2322.5</c:v>
                </c:pt>
                <c:pt idx="3">
                  <c:v>2092.5</c:v>
                </c:pt>
                <c:pt idx="4">
                  <c:v>2092.5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BF-423A-A9CA-63D50B9951EC}"/>
            </c:ext>
          </c:extLst>
        </c:ser>
        <c:ser>
          <c:idx val="4"/>
          <c:order val="4"/>
          <c:tx>
            <c:strRef>
              <c:f>Barrowman!$V$29</c:f>
              <c:strCache>
                <c:ptCount val="1"/>
                <c:pt idx="0">
                  <c:v>Spitze Zentral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Barrowman!$V$30:$V$35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103.5</c:v>
                </c:pt>
                <c:pt idx="3">
                  <c:v>86.25</c:v>
                </c:pt>
                <c:pt idx="4">
                  <c:v>69.0</c:v>
                </c:pt>
                <c:pt idx="5">
                  <c:v>0.0</c:v>
                </c:pt>
              </c:numCache>
            </c:numRef>
          </c:xVal>
          <c:yVal>
            <c:numRef>
              <c:f>Barrowman!$W$30:$W$35</c:f>
              <c:numCache>
                <c:formatCode>General</c:formatCode>
                <c:ptCount val="6"/>
                <c:pt idx="0">
                  <c:v>0.0</c:v>
                </c:pt>
                <c:pt idx="1">
                  <c:v>317.5</c:v>
                </c:pt>
                <c:pt idx="2">
                  <c:v>317.5</c:v>
                </c:pt>
                <c:pt idx="3">
                  <c:v>158.75</c:v>
                </c:pt>
                <c:pt idx="4">
                  <c:v>79.375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BF-423A-A9CA-63D50B9951EC}"/>
            </c:ext>
          </c:extLst>
        </c:ser>
        <c:ser>
          <c:idx val="5"/>
          <c:order val="5"/>
          <c:tx>
            <c:strRef>
              <c:f>Barrowman!$V$40</c:f>
              <c:strCache>
                <c:ptCount val="1"/>
                <c:pt idx="0">
                  <c:v>Pressure Point Flossen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5"/>
              </a:solidFill>
            </c:spPr>
          </c:marker>
          <c:xVal>
            <c:numRef>
              <c:f>Barrowman!$V$41</c:f>
              <c:numCache>
                <c:formatCode>0.00</c:formatCode>
                <c:ptCount val="1"/>
                <c:pt idx="0">
                  <c:v>213.7222222222222</c:v>
                </c:pt>
              </c:numCache>
            </c:numRef>
          </c:xVal>
          <c:yVal>
            <c:numRef>
              <c:f>Barrowman!$W$41</c:f>
              <c:numCache>
                <c:formatCode>0.00</c:formatCode>
                <c:ptCount val="1"/>
                <c:pt idx="0">
                  <c:v>2141.773504273504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BF-423A-A9CA-63D50B9951EC}"/>
            </c:ext>
          </c:extLst>
        </c:ser>
        <c:ser>
          <c:idx val="6"/>
          <c:order val="6"/>
          <c:tx>
            <c:strRef>
              <c:f>Barrowman!$V$43</c:f>
              <c:strCache>
                <c:ptCount val="1"/>
                <c:pt idx="0">
                  <c:v>Pressure Point Spitze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6"/>
              </a:solidFill>
            </c:spPr>
          </c:marker>
          <c:xVal>
            <c:numRef>
              <c:f>Barrowman!$V$44</c:f>
              <c:numCache>
                <c:formatCode>0.00</c:formatCode>
                <c:ptCount val="1"/>
                <c:pt idx="0">
                  <c:v>0.0</c:v>
                </c:pt>
              </c:numCache>
            </c:numRef>
          </c:xVal>
          <c:yVal>
            <c:numRef>
              <c:f>Barrowman!$W$44</c:f>
              <c:numCache>
                <c:formatCode>0.00</c:formatCode>
                <c:ptCount val="1"/>
                <c:pt idx="0">
                  <c:v>147.955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BF-423A-A9CA-63D50B9951EC}"/>
            </c:ext>
          </c:extLst>
        </c:ser>
        <c:ser>
          <c:idx val="7"/>
          <c:order val="7"/>
          <c:tx>
            <c:strRef>
              <c:f>Barrowman!$V$46</c:f>
              <c:strCache>
                <c:ptCount val="1"/>
                <c:pt idx="0">
                  <c:v>Pressure Point Kompartimente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</c:spPr>
          </c:marker>
          <c:xVal>
            <c:numRef>
              <c:f>Barrowman!$V$47</c:f>
              <c:numCache>
                <c:formatCode>0.00</c:formatCode>
                <c:ptCount val="1"/>
                <c:pt idx="0">
                  <c:v>179.0</c:v>
                </c:pt>
              </c:numCache>
            </c:numRef>
          </c:xVal>
          <c:yVal>
            <c:numRef>
              <c:f>Barrowman!$W$47</c:f>
              <c:numCache>
                <c:formatCode>0.00</c:formatCode>
                <c:ptCount val="1"/>
                <c:pt idx="0">
                  <c:v>1346.9566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CBF-423A-A9CA-63D50B9951EC}"/>
            </c:ext>
          </c:extLst>
        </c:ser>
        <c:ser>
          <c:idx val="8"/>
          <c:order val="8"/>
          <c:tx>
            <c:strRef>
              <c:f>Barrowman!$H$17</c:f>
              <c:strCache>
                <c:ptCount val="1"/>
                <c:pt idx="0">
                  <c:v>SP kritisch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10"/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1"/>
              <c:pt idx="0">
                <c:v>0.0</c:v>
              </c:pt>
            </c:numLit>
          </c:xVal>
          <c:yVal>
            <c:numRef>
              <c:f>Barrowman!$J$17</c:f>
              <c:numCache>
                <c:formatCode>General</c:formatCode>
                <c:ptCount val="1"/>
                <c:pt idx="0">
                  <c:v>1519.7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CBF-423A-A9CA-63D50B9951EC}"/>
            </c:ext>
          </c:extLst>
        </c:ser>
        <c:ser>
          <c:idx val="9"/>
          <c:order val="9"/>
          <c:tx>
            <c:strRef>
              <c:f>Barrowman!$H$21</c:f>
              <c:strCache>
                <c:ptCount val="1"/>
                <c:pt idx="0">
                  <c:v>SP-Lage voll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0"/>
            <c:spPr>
              <a:solidFill>
                <a:srgbClr val="0070C0"/>
              </a:solidFill>
            </c:spPr>
          </c:marker>
          <c:xVal>
            <c:numLit>
              <c:formatCode>General</c:formatCode>
              <c:ptCount val="1"/>
              <c:pt idx="0">
                <c:v>0.0</c:v>
              </c:pt>
            </c:numLit>
          </c:xVal>
          <c:yVal>
            <c:numRef>
              <c:f>Barrowman!$J$21</c:f>
              <c:numCache>
                <c:formatCode>General</c:formatCode>
                <c:ptCount val="1"/>
                <c:pt idx="0">
                  <c:v>1408.0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CBF-423A-A9CA-63D50B99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4552"/>
        <c:axId val="7063224"/>
      </c:scatterChart>
      <c:valAx>
        <c:axId val="427274552"/>
        <c:scaling>
          <c:orientation val="minMax"/>
          <c:max val="600.0"/>
          <c:min val="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7063224"/>
        <c:crosses val="autoZero"/>
        <c:crossBetween val="midCat"/>
        <c:majorUnit val="200.0"/>
      </c:valAx>
      <c:valAx>
        <c:axId val="7063224"/>
        <c:scaling>
          <c:orientation val="maxMin"/>
          <c:max val="2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274552"/>
        <c:crosses val="autoZero"/>
        <c:crossBetween val="midCat"/>
        <c:majorUnit val="200.0"/>
        <c:minorUnit val="1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2093231167858"/>
          <c:y val="0.278535169280424"/>
          <c:w val="0.342046157374432"/>
          <c:h val="0.4525371956346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Stabilitätsmaß bei Veränderung des Angriffswinkels</a:t>
            </a:r>
            <a:r>
              <a:rPr lang="de-DE" baseline="0"/>
              <a:t> </a:t>
            </a:r>
            <a:r>
              <a:rPr lang="el-GR" baseline="0">
                <a:latin typeface="Arial" panose="020B0604020202020204" pitchFamily="34" charset="0"/>
                <a:cs typeface="Arial" panose="020B0604020202020204" pitchFamily="34" charset="0"/>
              </a:rPr>
              <a:t>α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Wind'!$Q$2:$Q$3</c:f>
              <c:strCache>
                <c:ptCount val="1"/>
                <c:pt idx="0">
                  <c:v>voll Fall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Wind'!$Q$4:$Q$34</c:f>
              <c:numCache>
                <c:formatCode>0.000</c:formatCode>
                <c:ptCount val="31"/>
                <c:pt idx="0">
                  <c:v>1.189951258395531</c:v>
                </c:pt>
                <c:pt idx="1">
                  <c:v>1.1616482500573</c:v>
                </c:pt>
                <c:pt idx="2">
                  <c:v>1.134917855801472</c:v>
                </c:pt>
                <c:pt idx="3">
                  <c:v>1.10963254864675</c:v>
                </c:pt>
                <c:pt idx="4">
                  <c:v>1.0856782273222</c:v>
                </c:pt>
                <c:pt idx="5">
                  <c:v>1.062952494795239</c:v>
                </c:pt>
                <c:pt idx="6">
                  <c:v>1.041363195053668</c:v>
                </c:pt>
                <c:pt idx="7">
                  <c:v>1.020827164044018</c:v>
                </c:pt>
                <c:pt idx="8">
                  <c:v>1.001269159069127</c:v>
                </c:pt>
                <c:pt idx="9">
                  <c:v>0.982620937589991</c:v>
                </c:pt>
                <c:pt idx="10">
                  <c:v>0.964820461660237</c:v>
                </c:pt>
                <c:pt idx="11">
                  <c:v>0.947811208448109</c:v>
                </c:pt>
                <c:pt idx="12">
                  <c:v>0.931541570700439</c:v>
                </c:pt>
                <c:pt idx="13">
                  <c:v>0.915964333751514</c:v>
                </c:pt>
                <c:pt idx="14">
                  <c:v>0.901036217912837</c:v>
                </c:pt>
                <c:pt idx="15">
                  <c:v>0.886717476902675</c:v>
                </c:pt>
                <c:pt idx="16">
                  <c:v>0.872971544469024</c:v>
                </c:pt>
                <c:pt idx="17">
                  <c:v>0.859764722590542</c:v>
                </c:pt>
                <c:pt idx="18">
                  <c:v>0.847065905657848</c:v>
                </c:pt>
                <c:pt idx="19">
                  <c:v>0.834846335882609</c:v>
                </c:pt>
                <c:pt idx="20">
                  <c:v>0.823079385886009</c:v>
                </c:pt>
                <c:pt idx="21">
                  <c:v>0.811740365007014</c:v>
                </c:pt>
                <c:pt idx="22">
                  <c:v>0.800806346365267</c:v>
                </c:pt>
                <c:pt idx="23">
                  <c:v>0.790256012129526</c:v>
                </c:pt>
                <c:pt idx="24">
                  <c:v>0.780069514794218</c:v>
                </c:pt>
                <c:pt idx="25">
                  <c:v>0.770228352564705</c:v>
                </c:pt>
                <c:pt idx="26">
                  <c:v>0.760715257205095</c:v>
                </c:pt>
                <c:pt idx="27">
                  <c:v>0.751514092918339</c:v>
                </c:pt>
                <c:pt idx="28">
                  <c:v>0.742609765012935</c:v>
                </c:pt>
                <c:pt idx="29">
                  <c:v>0.733988137268765</c:v>
                </c:pt>
                <c:pt idx="30">
                  <c:v>0.725635957050487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FF-462A-95C3-2C9874F5D9B2}"/>
            </c:ext>
          </c:extLst>
        </c:ser>
        <c:ser>
          <c:idx val="2"/>
          <c:order val="1"/>
          <c:tx>
            <c:strRef>
              <c:f>'Plot Wind'!$S$2:$S$3</c:f>
              <c:strCache>
                <c:ptCount val="1"/>
                <c:pt idx="0">
                  <c:v>kritisch Fall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Wind'!$S$4:$S$34</c:f>
              <c:numCache>
                <c:formatCode>0.000</c:formatCode>
                <c:ptCount val="31"/>
                <c:pt idx="0">
                  <c:v>0.650337731825483</c:v>
                </c:pt>
                <c:pt idx="1">
                  <c:v>0.622034723487251</c:v>
                </c:pt>
                <c:pt idx="2">
                  <c:v>0.595304329231423</c:v>
                </c:pt>
                <c:pt idx="3">
                  <c:v>0.570019022076702</c:v>
                </c:pt>
                <c:pt idx="4">
                  <c:v>0.546064700752151</c:v>
                </c:pt>
                <c:pt idx="5">
                  <c:v>0.52333896822519</c:v>
                </c:pt>
                <c:pt idx="6">
                  <c:v>0.501749668483619</c:v>
                </c:pt>
                <c:pt idx="7">
                  <c:v>0.48121363747397</c:v>
                </c:pt>
                <c:pt idx="8">
                  <c:v>0.461655632499078</c:v>
                </c:pt>
                <c:pt idx="9">
                  <c:v>0.443007411019942</c:v>
                </c:pt>
                <c:pt idx="10">
                  <c:v>0.425206935090188</c:v>
                </c:pt>
                <c:pt idx="11">
                  <c:v>0.408197681878061</c:v>
                </c:pt>
                <c:pt idx="12">
                  <c:v>0.39192804413039</c:v>
                </c:pt>
                <c:pt idx="13">
                  <c:v>0.376350807181465</c:v>
                </c:pt>
                <c:pt idx="14">
                  <c:v>0.361422691342789</c:v>
                </c:pt>
                <c:pt idx="15">
                  <c:v>0.347103950332627</c:v>
                </c:pt>
                <c:pt idx="16">
                  <c:v>0.333358017898976</c:v>
                </c:pt>
                <c:pt idx="17">
                  <c:v>0.320151196020494</c:v>
                </c:pt>
                <c:pt idx="18">
                  <c:v>0.307452379087799</c:v>
                </c:pt>
                <c:pt idx="19">
                  <c:v>0.295232809312561</c:v>
                </c:pt>
                <c:pt idx="20">
                  <c:v>0.28346585931596</c:v>
                </c:pt>
                <c:pt idx="21">
                  <c:v>0.272126838436966</c:v>
                </c:pt>
                <c:pt idx="22">
                  <c:v>0.261192819795219</c:v>
                </c:pt>
                <c:pt idx="23">
                  <c:v>0.250642485559477</c:v>
                </c:pt>
                <c:pt idx="24">
                  <c:v>0.240455988224169</c:v>
                </c:pt>
                <c:pt idx="25">
                  <c:v>0.230614825994657</c:v>
                </c:pt>
                <c:pt idx="26">
                  <c:v>0.221101730635046</c:v>
                </c:pt>
                <c:pt idx="27">
                  <c:v>0.211900566348291</c:v>
                </c:pt>
                <c:pt idx="28">
                  <c:v>0.202996238442886</c:v>
                </c:pt>
                <c:pt idx="29">
                  <c:v>0.194374610698717</c:v>
                </c:pt>
                <c:pt idx="30">
                  <c:v>0.186022430480439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FFF-462A-95C3-2C9874F5D9B2}"/>
            </c:ext>
          </c:extLst>
        </c:ser>
        <c:ser>
          <c:idx val="4"/>
          <c:order val="2"/>
          <c:tx>
            <c:strRef>
              <c:f>'Plot Wind'!$U$2:$U$3</c:f>
              <c:strCache>
                <c:ptCount val="1"/>
                <c:pt idx="0">
                  <c:v>leer Fall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Wind'!$U$4:$U$34</c:f>
              <c:numCache>
                <c:formatCode>0.000</c:formatCode>
                <c:ptCount val="31"/>
                <c:pt idx="0">
                  <c:v>1.00396092023128</c:v>
                </c:pt>
                <c:pt idx="1">
                  <c:v>0.975657911893049</c:v>
                </c:pt>
                <c:pt idx="2">
                  <c:v>0.94892751763722</c:v>
                </c:pt>
                <c:pt idx="3">
                  <c:v>0.923642210482499</c:v>
                </c:pt>
                <c:pt idx="4">
                  <c:v>0.899687889157948</c:v>
                </c:pt>
                <c:pt idx="5">
                  <c:v>0.876962156630988</c:v>
                </c:pt>
                <c:pt idx="6">
                  <c:v>0.855372856889417</c:v>
                </c:pt>
                <c:pt idx="7">
                  <c:v>0.834836825879767</c:v>
                </c:pt>
                <c:pt idx="8">
                  <c:v>0.815278820904876</c:v>
                </c:pt>
                <c:pt idx="9">
                  <c:v>0.79663059942574</c:v>
                </c:pt>
                <c:pt idx="10">
                  <c:v>0.778830123495986</c:v>
                </c:pt>
                <c:pt idx="11">
                  <c:v>0.761820870283858</c:v>
                </c:pt>
                <c:pt idx="12">
                  <c:v>0.745551232536188</c:v>
                </c:pt>
                <c:pt idx="13">
                  <c:v>0.729973995587263</c:v>
                </c:pt>
                <c:pt idx="14">
                  <c:v>0.715045879748586</c:v>
                </c:pt>
                <c:pt idx="15">
                  <c:v>0.700727138738424</c:v>
                </c:pt>
                <c:pt idx="16">
                  <c:v>0.686981206304773</c:v>
                </c:pt>
                <c:pt idx="17">
                  <c:v>0.673774384426291</c:v>
                </c:pt>
                <c:pt idx="18">
                  <c:v>0.661075567493596</c:v>
                </c:pt>
                <c:pt idx="19">
                  <c:v>0.648855997718358</c:v>
                </c:pt>
                <c:pt idx="20">
                  <c:v>0.637089047721758</c:v>
                </c:pt>
                <c:pt idx="21">
                  <c:v>0.625750026842763</c:v>
                </c:pt>
                <c:pt idx="22">
                  <c:v>0.614816008201016</c:v>
                </c:pt>
                <c:pt idx="23">
                  <c:v>0.604265673965275</c:v>
                </c:pt>
                <c:pt idx="24">
                  <c:v>0.594079176629967</c:v>
                </c:pt>
                <c:pt idx="25">
                  <c:v>0.584238014400454</c:v>
                </c:pt>
                <c:pt idx="26">
                  <c:v>0.574724919040844</c:v>
                </c:pt>
                <c:pt idx="27">
                  <c:v>0.565523754754088</c:v>
                </c:pt>
                <c:pt idx="28">
                  <c:v>0.556619426848683</c:v>
                </c:pt>
                <c:pt idx="29">
                  <c:v>0.547997799104514</c:v>
                </c:pt>
                <c:pt idx="30">
                  <c:v>0.539645618886236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FF-462A-95C3-2C9874F5D9B2}"/>
            </c:ext>
          </c:extLst>
        </c:ser>
        <c:ser>
          <c:idx val="1"/>
          <c:order val="3"/>
          <c:tx>
            <c:strRef>
              <c:f>'Plot Wind'!$R$2:$R$3</c:f>
              <c:strCache>
                <c:ptCount val="1"/>
                <c:pt idx="0">
                  <c:v>voll Fall 2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Wind'!$R$4:$R$34</c:f>
              <c:numCache>
                <c:formatCode>0.000</c:formatCode>
                <c:ptCount val="31"/>
                <c:pt idx="0">
                  <c:v>1.189951258395531</c:v>
                </c:pt>
                <c:pt idx="1">
                  <c:v>1.152842439944368</c:v>
                </c:pt>
                <c:pt idx="2">
                  <c:v>1.117100648061538</c:v>
                </c:pt>
                <c:pt idx="3">
                  <c:v>1.082651710492273</c:v>
                </c:pt>
                <c:pt idx="4">
                  <c:v>1.049426725584325</c:v>
                </c:pt>
                <c:pt idx="5">
                  <c:v>1.017361602305095</c:v>
                </c:pt>
                <c:pt idx="6">
                  <c:v>0.986396647605406</c:v>
                </c:pt>
                <c:pt idx="7">
                  <c:v>0.956476195540122</c:v>
                </c:pt>
                <c:pt idx="8">
                  <c:v>0.927548273297522</c:v>
                </c:pt>
                <c:pt idx="9">
                  <c:v>0.899564299922125</c:v>
                </c:pt>
                <c:pt idx="10">
                  <c:v>0.872478814057021</c:v>
                </c:pt>
                <c:pt idx="11">
                  <c:v>0.846249227496184</c:v>
                </c:pt>
                <c:pt idx="12">
                  <c:v>0.820835601736551</c:v>
                </c:pt>
                <c:pt idx="13">
                  <c:v>0.796200445064069</c:v>
                </c:pt>
                <c:pt idx="14">
                  <c:v>0.772308528005388</c:v>
                </c:pt>
                <c:pt idx="15">
                  <c:v>0.749126715234725</c:v>
                </c:pt>
                <c:pt idx="16">
                  <c:v>0.726623812249237</c:v>
                </c:pt>
                <c:pt idx="17">
                  <c:v>0.704770425320897</c:v>
                </c:pt>
                <c:pt idx="18">
                  <c:v>0.68353883340275</c:v>
                </c:pt>
                <c:pt idx="19">
                  <c:v>0.662902870815784</c:v>
                </c:pt>
                <c:pt idx="20">
                  <c:v>0.642837819672483</c:v>
                </c:pt>
                <c:pt idx="21">
                  <c:v>0.623320311107144</c:v>
                </c:pt>
                <c:pt idx="22">
                  <c:v>0.604328234483149</c:v>
                </c:pt>
                <c:pt idx="23">
                  <c:v>0.585840653835554</c:v>
                </c:pt>
                <c:pt idx="24">
                  <c:v>0.567837730885126</c:v>
                </c:pt>
                <c:pt idx="25">
                  <c:v>0.550300654028685</c:v>
                </c:pt>
                <c:pt idx="26">
                  <c:v>0.533211572771378</c:v>
                </c:pt>
                <c:pt idx="27">
                  <c:v>0.516553537120541</c:v>
                </c:pt>
                <c:pt idx="28">
                  <c:v>0.50031044150847</c:v>
                </c:pt>
                <c:pt idx="29">
                  <c:v>0.484466972854207</c:v>
                </c:pt>
                <c:pt idx="30">
                  <c:v>0.469008562412237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FFF-462A-95C3-2C9874F5D9B2}"/>
            </c:ext>
          </c:extLst>
        </c:ser>
        <c:ser>
          <c:idx val="3"/>
          <c:order val="4"/>
          <c:tx>
            <c:strRef>
              <c:f>'Plot Wind'!$T$2:$T$3</c:f>
              <c:strCache>
                <c:ptCount val="1"/>
                <c:pt idx="0">
                  <c:v>kritisch Fall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Wind'!$T$4:$T$34</c:f>
              <c:numCache>
                <c:formatCode>0.000</c:formatCode>
                <c:ptCount val="31"/>
                <c:pt idx="0">
                  <c:v>0.650337731825483</c:v>
                </c:pt>
                <c:pt idx="1">
                  <c:v>0.61322891337432</c:v>
                </c:pt>
                <c:pt idx="2">
                  <c:v>0.577487121491489</c:v>
                </c:pt>
                <c:pt idx="3">
                  <c:v>0.543038183922224</c:v>
                </c:pt>
                <c:pt idx="4">
                  <c:v>0.509813199014276</c:v>
                </c:pt>
                <c:pt idx="5">
                  <c:v>0.477748075735046</c:v>
                </c:pt>
                <c:pt idx="6">
                  <c:v>0.446783121035357</c:v>
                </c:pt>
                <c:pt idx="7">
                  <c:v>0.416862668970073</c:v>
                </c:pt>
                <c:pt idx="8">
                  <c:v>0.387934746727473</c:v>
                </c:pt>
                <c:pt idx="9">
                  <c:v>0.359950773352076</c:v>
                </c:pt>
                <c:pt idx="10">
                  <c:v>0.332865287486973</c:v>
                </c:pt>
                <c:pt idx="11">
                  <c:v>0.306635700926136</c:v>
                </c:pt>
                <c:pt idx="12">
                  <c:v>0.281222075166503</c:v>
                </c:pt>
                <c:pt idx="13">
                  <c:v>0.256586918494021</c:v>
                </c:pt>
                <c:pt idx="14">
                  <c:v>0.232695001435339</c:v>
                </c:pt>
                <c:pt idx="15">
                  <c:v>0.209513188664677</c:v>
                </c:pt>
                <c:pt idx="16">
                  <c:v>0.187010285679189</c:v>
                </c:pt>
                <c:pt idx="17">
                  <c:v>0.165156898750849</c:v>
                </c:pt>
                <c:pt idx="18">
                  <c:v>0.143925306832701</c:v>
                </c:pt>
                <c:pt idx="19">
                  <c:v>0.123289344245735</c:v>
                </c:pt>
                <c:pt idx="20">
                  <c:v>0.103224293102434</c:v>
                </c:pt>
                <c:pt idx="21">
                  <c:v>0.0837067845370953</c:v>
                </c:pt>
                <c:pt idx="22">
                  <c:v>0.064714707913101</c:v>
                </c:pt>
                <c:pt idx="23">
                  <c:v>0.0462271272655051</c:v>
                </c:pt>
                <c:pt idx="24">
                  <c:v>0.0282242043150776</c:v>
                </c:pt>
                <c:pt idx="25">
                  <c:v>0.0106871274586362</c:v>
                </c:pt>
                <c:pt idx="26">
                  <c:v>-0.00640195379867072</c:v>
                </c:pt>
                <c:pt idx="27">
                  <c:v>-0.0230599894495077</c:v>
                </c:pt>
                <c:pt idx="28">
                  <c:v>-0.0393030850615788</c:v>
                </c:pt>
                <c:pt idx="29">
                  <c:v>-0.0551465537158417</c:v>
                </c:pt>
                <c:pt idx="30">
                  <c:v>-0.0706049641578111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FFF-462A-95C3-2C9874F5D9B2}"/>
            </c:ext>
          </c:extLst>
        </c:ser>
        <c:ser>
          <c:idx val="5"/>
          <c:order val="5"/>
          <c:tx>
            <c:strRef>
              <c:f>'Plot Wind'!$V$2:$V$3</c:f>
              <c:strCache>
                <c:ptCount val="1"/>
                <c:pt idx="0">
                  <c:v>leer Fall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Wind'!$B$4:$B$34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 formatCode="0">
                  <c:v>26.0</c:v>
                </c:pt>
                <c:pt idx="27" formatCode="0">
                  <c:v>27.0</c:v>
                </c:pt>
                <c:pt idx="28" formatCode="0">
                  <c:v>28.0</c:v>
                </c:pt>
                <c:pt idx="29" formatCode="0">
                  <c:v>29.0</c:v>
                </c:pt>
                <c:pt idx="30" formatCode="0">
                  <c:v>30.0</c:v>
                </c:pt>
              </c:numCache>
            </c:numRef>
          </c:xVal>
          <c:yVal>
            <c:numRef>
              <c:f>'Plot Wind'!$V$4:$V$34</c:f>
              <c:numCache>
                <c:formatCode>0.000</c:formatCode>
                <c:ptCount val="31"/>
                <c:pt idx="0">
                  <c:v>1.00396092023128</c:v>
                </c:pt>
                <c:pt idx="1">
                  <c:v>0.966852101780117</c:v>
                </c:pt>
                <c:pt idx="2">
                  <c:v>0.931110309897286</c:v>
                </c:pt>
                <c:pt idx="3">
                  <c:v>0.896661372328022</c:v>
                </c:pt>
                <c:pt idx="4">
                  <c:v>0.863436387420074</c:v>
                </c:pt>
                <c:pt idx="5">
                  <c:v>0.831371264140843</c:v>
                </c:pt>
                <c:pt idx="6">
                  <c:v>0.800406309441155</c:v>
                </c:pt>
                <c:pt idx="7">
                  <c:v>0.770485857375871</c:v>
                </c:pt>
                <c:pt idx="8">
                  <c:v>0.741557935133271</c:v>
                </c:pt>
                <c:pt idx="9">
                  <c:v>0.713573961757873</c:v>
                </c:pt>
                <c:pt idx="10">
                  <c:v>0.68648847589277</c:v>
                </c:pt>
                <c:pt idx="11">
                  <c:v>0.660258889331933</c:v>
                </c:pt>
                <c:pt idx="12">
                  <c:v>0.6348452635723</c:v>
                </c:pt>
                <c:pt idx="13">
                  <c:v>0.610210106899818</c:v>
                </c:pt>
                <c:pt idx="14">
                  <c:v>0.586318189841136</c:v>
                </c:pt>
                <c:pt idx="15">
                  <c:v>0.563136377070474</c:v>
                </c:pt>
                <c:pt idx="16">
                  <c:v>0.540633474084986</c:v>
                </c:pt>
                <c:pt idx="17">
                  <c:v>0.518780087156646</c:v>
                </c:pt>
                <c:pt idx="18">
                  <c:v>0.497548495238499</c:v>
                </c:pt>
                <c:pt idx="19">
                  <c:v>0.476912532651533</c:v>
                </c:pt>
                <c:pt idx="20">
                  <c:v>0.456847481508232</c:v>
                </c:pt>
                <c:pt idx="21">
                  <c:v>0.437329972942893</c:v>
                </c:pt>
                <c:pt idx="22">
                  <c:v>0.418337896318898</c:v>
                </c:pt>
                <c:pt idx="23">
                  <c:v>0.399850315671302</c:v>
                </c:pt>
                <c:pt idx="24">
                  <c:v>0.381847392720875</c:v>
                </c:pt>
                <c:pt idx="25">
                  <c:v>0.364310315864433</c:v>
                </c:pt>
                <c:pt idx="26">
                  <c:v>0.347221234607127</c:v>
                </c:pt>
                <c:pt idx="27">
                  <c:v>0.33056319895629</c:v>
                </c:pt>
                <c:pt idx="28">
                  <c:v>0.314320103344218</c:v>
                </c:pt>
                <c:pt idx="29">
                  <c:v>0.298476634689956</c:v>
                </c:pt>
                <c:pt idx="30">
                  <c:v>0.283018224247986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FFF-462A-95C3-2C9874F5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37240"/>
        <c:axId val="482544664"/>
      </c:scatterChart>
      <c:valAx>
        <c:axId val="482537240"/>
        <c:scaling>
          <c:orientation val="minMax"/>
          <c:max val="3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Anstellwinkel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de-DE" sz="1000" b="0" i="0" u="none" strike="noStrike" baseline="0">
                    <a:effectLst/>
                  </a:rPr>
                  <a:t> [°]</a:t>
                </a:r>
                <a:r>
                  <a:rPr lang="de-DE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44664"/>
        <c:crosses val="autoZero"/>
        <c:crossBetween val="midCat"/>
      </c:valAx>
      <c:valAx>
        <c:axId val="482544664"/>
        <c:scaling>
          <c:orientation val="minMax"/>
          <c:max val="1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Stabilitätsmaß 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3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$D$30" fmlaRange="$F$30:$F$33" sel="2" val="0"/>
</file>

<file path=xl/ctrlProps/ctrlProp2.xml><?xml version="1.0" encoding="utf-8"?>
<formControlPr xmlns="http://schemas.microsoft.com/office/spreadsheetml/2009/9/main" objectType="List" dx="22" fmlaLink="$D$52" fmlaRange="$F$52:$F$54" sel="2" val="0"/>
</file>

<file path=xl/ctrlProps/ctrlProp3.xml><?xml version="1.0" encoding="utf-8"?>
<formControlPr xmlns="http://schemas.microsoft.com/office/spreadsheetml/2009/9/main" objectType="List" dx="22" fmlaLink="$D$15" fmlaRange="$F$15:$F$17" sel="2" val="0"/>
</file>

<file path=xl/ctrlProps/ctrlProp4.xml><?xml version="1.0" encoding="utf-8"?>
<formControlPr xmlns="http://schemas.microsoft.com/office/spreadsheetml/2009/9/main" objectType="List" dx="22" fmlaLink="$D$39" fmlaRange="$F$39:$F$42" sel="2" val="0"/>
</file>

<file path=xl/ctrlProps/ctrlProp5.xml><?xml version="1.0" encoding="utf-8"?>
<formControlPr xmlns="http://schemas.microsoft.com/office/spreadsheetml/2009/9/main" objectType="Radio" checked="Checked" firstButton="1" fmlaLink="$F$81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Spin" dx="22" fmlaLink="$D$21" max="30000" page="10" val="160"/>
</file>

<file path=xl/ctrlProps/ctrlProp8.xml><?xml version="1.0" encoding="utf-8"?>
<formControlPr xmlns="http://schemas.microsoft.com/office/spreadsheetml/2009/9/main" objectType="Spin" dx="22" fmlaLink="$J$53" max="30000" page="10" val="4"/>
</file>

<file path=xl/ctrlProps/ctrlProp9.xml><?xml version="1.0" encoding="utf-8"?>
<formControlPr xmlns="http://schemas.microsoft.com/office/spreadsheetml/2009/9/main" objectType="Spin" dx="22" fmlaLink="$K$52" max="15" min="11" page="10" val="1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36</xdr:row>
      <xdr:rowOff>123825</xdr:rowOff>
    </xdr:from>
    <xdr:to>
      <xdr:col>19</xdr:col>
      <xdr:colOff>1123950</xdr:colOff>
      <xdr:row>68</xdr:row>
      <xdr:rowOff>63870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43" t="3504" r="12224"/>
        <a:stretch/>
      </xdr:blipFill>
      <xdr:spPr>
        <a:xfrm>
          <a:off x="8486775" y="7172325"/>
          <a:ext cx="2990850" cy="62011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4</xdr:col>
          <xdr:colOff>0</xdr:colOff>
          <xdr:row>30</xdr:row>
          <xdr:rowOff>190500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266700</xdr:colOff>
          <xdr:row>52</xdr:row>
          <xdr:rowOff>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50800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203200</xdr:rowOff>
        </xdr:from>
        <xdr:to>
          <xdr:col>4</xdr:col>
          <xdr:colOff>0</xdr:colOff>
          <xdr:row>41</xdr:row>
          <xdr:rowOff>0</xdr:rowOff>
        </xdr:to>
        <xdr:sp macro="" textlink="">
          <xdr:nvSpPr>
            <xdr:cNvPr id="1029" name="List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24</xdr:row>
          <xdr:rowOff>190500</xdr:rowOff>
        </xdr:from>
        <xdr:to>
          <xdr:col>4</xdr:col>
          <xdr:colOff>190500</xdr:colOff>
          <xdr:row>25</xdr:row>
          <xdr:rowOff>190500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JA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26</xdr:row>
          <xdr:rowOff>0</xdr:rowOff>
        </xdr:from>
        <xdr:to>
          <xdr:col>4</xdr:col>
          <xdr:colOff>190500</xdr:colOff>
          <xdr:row>27</xdr:row>
          <xdr:rowOff>25400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Nein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0</xdr:colOff>
      <xdr:row>3</xdr:row>
      <xdr:rowOff>0</xdr:rowOff>
    </xdr:from>
    <xdr:to>
      <xdr:col>20</xdr:col>
      <xdr:colOff>0</xdr:colOff>
      <xdr:row>36</xdr:row>
      <xdr:rowOff>104776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</xdr:colOff>
      <xdr:row>2</xdr:row>
      <xdr:rowOff>190499</xdr:rowOff>
    </xdr:from>
    <xdr:to>
      <xdr:col>26</xdr:col>
      <xdr:colOff>228601</xdr:colOff>
      <xdr:row>43</xdr:row>
      <xdr:rowOff>88166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19</xdr:row>
          <xdr:rowOff>25400</xdr:rowOff>
        </xdr:from>
        <xdr:to>
          <xdr:col>6</xdr:col>
          <xdr:colOff>279400</xdr:colOff>
          <xdr:row>22</xdr:row>
          <xdr:rowOff>50800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63500</xdr:colOff>
          <xdr:row>51</xdr:row>
          <xdr:rowOff>88900</xdr:rowOff>
        </xdr:from>
        <xdr:to>
          <xdr:col>13</xdr:col>
          <xdr:colOff>304800</xdr:colOff>
          <xdr:row>53</xdr:row>
          <xdr:rowOff>38100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50</xdr:row>
          <xdr:rowOff>101600</xdr:rowOff>
        </xdr:from>
        <xdr:to>
          <xdr:col>11</xdr:col>
          <xdr:colOff>0</xdr:colOff>
          <xdr:row>52</xdr:row>
          <xdr:rowOff>25400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61912</xdr:colOff>
      <xdr:row>2</xdr:row>
      <xdr:rowOff>38099</xdr:rowOff>
    </xdr:from>
    <xdr:to>
      <xdr:col>32</xdr:col>
      <xdr:colOff>209550</xdr:colOff>
      <xdr:row>27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15"/>
  <sheetViews>
    <sheetView tabSelected="1" zoomScale="90" zoomScaleNormal="90" zoomScalePageLayoutView="90" workbookViewId="0">
      <selection activeCell="K16" sqref="K16"/>
    </sheetView>
  </sheetViews>
  <sheetFormatPr baseColWidth="10" defaultRowHeight="14" x14ac:dyDescent="0"/>
  <cols>
    <col min="1" max="1" width="4.83203125" customWidth="1"/>
    <col min="2" max="2" width="20.83203125" customWidth="1"/>
    <col min="5" max="5" width="8.1640625" customWidth="1"/>
    <col min="6" max="6" width="11.6640625" hidden="1" customWidth="1"/>
    <col min="7" max="7" width="5.6640625" customWidth="1"/>
    <col min="8" max="8" width="18" customWidth="1"/>
    <col min="9" max="9" width="12.5" customWidth="1"/>
    <col min="10" max="10" width="10.33203125" customWidth="1"/>
    <col min="11" max="11" width="8.1640625" customWidth="1"/>
    <col min="12" max="12" width="15.83203125" hidden="1" customWidth="1"/>
    <col min="13" max="13" width="0" hidden="1" customWidth="1"/>
    <col min="14" max="14" width="5.6640625" customWidth="1"/>
    <col min="15" max="15" width="7.83203125" customWidth="1"/>
    <col min="16" max="16" width="9.1640625" customWidth="1"/>
    <col min="17" max="17" width="5.83203125" customWidth="1"/>
    <col min="19" max="19" width="6.6640625" customWidth="1"/>
    <col min="20" max="20" width="30.83203125" customWidth="1"/>
    <col min="21" max="21" width="6.5" customWidth="1"/>
    <col min="24" max="24" width="5.33203125" customWidth="1"/>
  </cols>
  <sheetData>
    <row r="1" spans="2:25" ht="15" thickBot="1"/>
    <row r="2" spans="2:25" ht="19" thickBot="1">
      <c r="B2" s="110" t="s">
        <v>54</v>
      </c>
      <c r="C2" s="111"/>
      <c r="D2" s="111"/>
      <c r="E2" s="112"/>
      <c r="H2" s="110" t="s">
        <v>59</v>
      </c>
      <c r="I2" s="111"/>
      <c r="J2" s="111"/>
      <c r="K2" s="112"/>
      <c r="O2" s="110" t="s">
        <v>31</v>
      </c>
      <c r="P2" s="111"/>
      <c r="Q2" s="111"/>
      <c r="R2" s="112"/>
      <c r="V2" s="110" t="s">
        <v>133</v>
      </c>
      <c r="W2" s="111"/>
      <c r="X2" s="111"/>
      <c r="Y2" s="112"/>
    </row>
    <row r="3" spans="2:25" ht="15" thickBot="1">
      <c r="B3" s="1"/>
      <c r="C3" s="2"/>
      <c r="D3" s="2"/>
      <c r="E3" s="15"/>
    </row>
    <row r="4" spans="2:25">
      <c r="B4" s="25" t="s">
        <v>0</v>
      </c>
      <c r="C4" s="13"/>
      <c r="D4" s="13"/>
      <c r="E4" s="14"/>
      <c r="H4" s="25" t="s">
        <v>60</v>
      </c>
      <c r="I4" s="13"/>
      <c r="J4" s="13"/>
      <c r="K4" s="14"/>
      <c r="O4" s="52" t="s">
        <v>109</v>
      </c>
      <c r="P4" s="53"/>
      <c r="V4" s="52" t="s">
        <v>69</v>
      </c>
      <c r="W4" s="53"/>
    </row>
    <row r="5" spans="2:25">
      <c r="B5" s="1" t="s">
        <v>1</v>
      </c>
      <c r="C5" s="2" t="s">
        <v>12</v>
      </c>
      <c r="D5" s="2">
        <v>2372.5</v>
      </c>
      <c r="E5" s="15"/>
      <c r="H5" s="1" t="s">
        <v>61</v>
      </c>
      <c r="I5" s="2" t="str">
        <f>C59</f>
        <v>Cn_Spitze</v>
      </c>
      <c r="J5" s="5">
        <f>D59</f>
        <v>2</v>
      </c>
      <c r="K5" s="15" t="str">
        <f>E59</f>
        <v xml:space="preserve"> -</v>
      </c>
      <c r="O5" s="54" t="s">
        <v>110</v>
      </c>
      <c r="P5" s="55" t="s">
        <v>111</v>
      </c>
      <c r="V5" s="54" t="s">
        <v>110</v>
      </c>
      <c r="W5" s="55" t="s">
        <v>111</v>
      </c>
    </row>
    <row r="6" spans="2:25">
      <c r="B6" s="1" t="s">
        <v>10</v>
      </c>
      <c r="C6" s="2" t="s">
        <v>14</v>
      </c>
      <c r="D6" s="2">
        <v>2417</v>
      </c>
      <c r="E6" s="15"/>
      <c r="H6" s="1" t="s">
        <v>62</v>
      </c>
      <c r="I6" s="2" t="str">
        <f>C70</f>
        <v>c_N,Flosse</v>
      </c>
      <c r="J6" s="5">
        <f t="shared" ref="J6:K6" si="0">D70</f>
        <v>8.7027424087324778</v>
      </c>
      <c r="K6" s="15" t="str">
        <f t="shared" si="0"/>
        <v xml:space="preserve"> -</v>
      </c>
      <c r="O6" s="54">
        <v>0</v>
      </c>
      <c r="P6" s="55">
        <v>0</v>
      </c>
      <c r="V6" s="54">
        <f>O6+D7</f>
        <v>103.5</v>
      </c>
      <c r="W6" s="54">
        <f>P6+D68</f>
        <v>2092.5</v>
      </c>
    </row>
    <row r="7" spans="2:25">
      <c r="B7" s="1" t="s">
        <v>15</v>
      </c>
      <c r="C7" s="2" t="s">
        <v>16</v>
      </c>
      <c r="D7" s="2">
        <v>103.5</v>
      </c>
      <c r="E7" s="15"/>
      <c r="H7" s="56" t="str">
        <f t="shared" ref="H7:K7" si="1">B87</f>
        <v>Kr.-Koeff. Komp.</v>
      </c>
      <c r="I7" s="5" t="str">
        <f t="shared" si="1"/>
        <v>c_N,Komp</v>
      </c>
      <c r="J7" s="5">
        <f>D87</f>
        <v>4</v>
      </c>
      <c r="K7" s="57" t="str">
        <f t="shared" si="1"/>
        <v xml:space="preserve"> -</v>
      </c>
      <c r="O7" s="54">
        <v>0</v>
      </c>
      <c r="P7" s="55">
        <f>D21</f>
        <v>160</v>
      </c>
      <c r="V7" s="54">
        <f>O7+D7</f>
        <v>103.5</v>
      </c>
      <c r="W7" s="54">
        <f>P7+D68</f>
        <v>2252.5</v>
      </c>
    </row>
    <row r="8" spans="2:25">
      <c r="B8" s="1" t="s">
        <v>9</v>
      </c>
      <c r="C8" s="2" t="s">
        <v>13</v>
      </c>
      <c r="D8" s="2">
        <f>D7*2</f>
        <v>207</v>
      </c>
      <c r="E8" s="15"/>
      <c r="H8" s="1"/>
      <c r="I8" s="2"/>
      <c r="J8" s="2"/>
      <c r="K8" s="15"/>
      <c r="O8" s="54">
        <f>D20</f>
        <v>208</v>
      </c>
      <c r="P8" s="55">
        <f>D23+D22</f>
        <v>230</v>
      </c>
      <c r="V8" s="54">
        <f>O8+D7</f>
        <v>311.5</v>
      </c>
      <c r="W8" s="54">
        <f>P8+D68</f>
        <v>2322.5</v>
      </c>
    </row>
    <row r="9" spans="2:25">
      <c r="B9" s="1" t="s">
        <v>11</v>
      </c>
      <c r="C9" s="2"/>
      <c r="D9" s="2">
        <f>1237.4</f>
        <v>1237.4000000000001</v>
      </c>
      <c r="E9" s="15"/>
      <c r="H9" s="16" t="s">
        <v>6</v>
      </c>
      <c r="I9" s="2"/>
      <c r="J9" s="2"/>
      <c r="K9" s="15"/>
      <c r="O9" s="54">
        <f>D20</f>
        <v>208</v>
      </c>
      <c r="P9" s="55">
        <f>D23</f>
        <v>0</v>
      </c>
      <c r="V9" s="54">
        <f>O9+D7</f>
        <v>311.5</v>
      </c>
      <c r="W9" s="54">
        <f>P9+D68</f>
        <v>2092.5</v>
      </c>
    </row>
    <row r="10" spans="2:25" ht="15" thickBot="1">
      <c r="B10" s="1" t="s">
        <v>139</v>
      </c>
      <c r="C10" s="2" t="s">
        <v>53</v>
      </c>
      <c r="D10" s="2">
        <v>4</v>
      </c>
      <c r="E10" s="15" t="s">
        <v>20</v>
      </c>
      <c r="H10" s="1" t="str">
        <f>B60</f>
        <v>DP-Lage Spitze</v>
      </c>
      <c r="I10" s="2" t="str">
        <f>C60</f>
        <v>Xn_Spitze</v>
      </c>
      <c r="J10" s="4">
        <f>D60</f>
        <v>147.95500000000001</v>
      </c>
      <c r="K10" s="15" t="str">
        <f>E60</f>
        <v>mm</v>
      </c>
      <c r="O10" s="44">
        <v>0</v>
      </c>
      <c r="P10" s="45">
        <v>0</v>
      </c>
      <c r="V10" s="54">
        <f>O10+D7</f>
        <v>103.5</v>
      </c>
      <c r="W10" s="54">
        <f>P10+D68</f>
        <v>2092.5</v>
      </c>
    </row>
    <row r="11" spans="2:25">
      <c r="B11" s="17"/>
      <c r="C11" s="18"/>
      <c r="D11" s="18"/>
      <c r="E11" s="19"/>
      <c r="H11" s="1" t="s">
        <v>65</v>
      </c>
      <c r="I11" s="2" t="str">
        <f>C71</f>
        <v>X_DP,Flossen</v>
      </c>
      <c r="J11" s="4">
        <f>D71</f>
        <v>2141.7735042735044</v>
      </c>
      <c r="K11" s="15" t="s">
        <v>19</v>
      </c>
    </row>
    <row r="12" spans="2:25">
      <c r="B12" s="1"/>
      <c r="C12" s="2"/>
      <c r="D12" s="2"/>
      <c r="E12" s="15"/>
      <c r="H12" s="58" t="str">
        <f>B88</f>
        <v>DP-Lage Komp</v>
      </c>
      <c r="I12" s="4" t="str">
        <f>C88</f>
        <v>X_DP,Komp</v>
      </c>
      <c r="J12" s="4">
        <f>D88</f>
        <v>1346.9566</v>
      </c>
      <c r="K12" s="59" t="str">
        <f>E88</f>
        <v>mm</v>
      </c>
      <c r="V12" s="12" t="s">
        <v>134</v>
      </c>
      <c r="W12" s="14"/>
    </row>
    <row r="13" spans="2:25">
      <c r="B13" s="25" t="s">
        <v>17</v>
      </c>
      <c r="C13" s="13"/>
      <c r="D13" s="13"/>
      <c r="E13" s="14"/>
      <c r="H13" s="1"/>
      <c r="I13" s="2"/>
      <c r="J13" s="2"/>
      <c r="K13" s="15"/>
      <c r="V13" s="1">
        <v>0</v>
      </c>
      <c r="W13" s="15">
        <f>D14</f>
        <v>317.5</v>
      </c>
    </row>
    <row r="14" spans="2:25" ht="13.5" customHeight="1" thickBot="1">
      <c r="B14" s="1" t="s">
        <v>1</v>
      </c>
      <c r="C14" s="2" t="s">
        <v>22</v>
      </c>
      <c r="D14" s="2">
        <v>317.5</v>
      </c>
      <c r="E14" s="15" t="s">
        <v>19</v>
      </c>
      <c r="F14" s="28"/>
      <c r="H14" s="27" t="s">
        <v>64</v>
      </c>
      <c r="I14" s="2" t="s">
        <v>97</v>
      </c>
      <c r="J14" s="3">
        <f>(J5*J10+J6*J11+J7*J12)/(J5+J6+J7)</f>
        <v>1654.3199104878749</v>
      </c>
      <c r="K14" s="15" t="s">
        <v>19</v>
      </c>
      <c r="L14" s="7" t="s">
        <v>40</v>
      </c>
      <c r="M14" s="6">
        <f>(2*139+2.94*1555+D70*D71)/(2+2.94+D70)</f>
        <v>1721.7215133011457</v>
      </c>
      <c r="V14" s="1">
        <v>0</v>
      </c>
      <c r="W14" s="15">
        <f>D5</f>
        <v>2372.5</v>
      </c>
    </row>
    <row r="15" spans="2:25">
      <c r="B15" s="1" t="s">
        <v>4</v>
      </c>
      <c r="C15" s="2"/>
      <c r="D15" s="2">
        <v>2</v>
      </c>
      <c r="E15" s="15" t="s">
        <v>20</v>
      </c>
      <c r="F15" s="29" t="s">
        <v>71</v>
      </c>
      <c r="G15" s="21"/>
      <c r="H15" s="1"/>
      <c r="I15" s="2"/>
      <c r="J15" s="2"/>
      <c r="K15" s="15"/>
      <c r="O15" s="52" t="s">
        <v>12</v>
      </c>
      <c r="P15" s="53"/>
      <c r="V15" s="1">
        <f>D7</f>
        <v>103.5</v>
      </c>
      <c r="W15" s="15">
        <f>W14</f>
        <v>2372.5</v>
      </c>
    </row>
    <row r="16" spans="2:25">
      <c r="B16" s="17"/>
      <c r="C16" s="18"/>
      <c r="D16" s="18"/>
      <c r="E16" s="19"/>
      <c r="F16" s="28" t="s">
        <v>72</v>
      </c>
      <c r="G16" s="22"/>
      <c r="H16" s="16" t="s">
        <v>66</v>
      </c>
      <c r="I16" s="2"/>
      <c r="J16" s="2"/>
      <c r="K16" s="15"/>
      <c r="O16" s="54">
        <v>0</v>
      </c>
      <c r="P16" s="55">
        <f>D21/2</f>
        <v>80</v>
      </c>
      <c r="V16" s="1">
        <f>V15</f>
        <v>103.5</v>
      </c>
      <c r="W16" s="15">
        <f>D14</f>
        <v>317.5</v>
      </c>
    </row>
    <row r="17" spans="2:23" ht="15" thickBot="1">
      <c r="B17" s="1"/>
      <c r="C17" s="2"/>
      <c r="D17" s="2"/>
      <c r="E17" s="15"/>
      <c r="F17" s="28" t="s">
        <v>73</v>
      </c>
      <c r="G17" s="22"/>
      <c r="H17" s="1" t="s">
        <v>2</v>
      </c>
      <c r="I17" s="2" t="s">
        <v>24</v>
      </c>
      <c r="J17" s="2">
        <v>1519.7</v>
      </c>
      <c r="K17" s="15" t="s">
        <v>19</v>
      </c>
      <c r="O17" s="44">
        <f>D20</f>
        <v>208</v>
      </c>
      <c r="P17" s="45">
        <f>D23+D22/2</f>
        <v>115</v>
      </c>
      <c r="V17" s="17">
        <v>0</v>
      </c>
      <c r="W17" s="19">
        <f>D14</f>
        <v>317.5</v>
      </c>
    </row>
    <row r="18" spans="2:23" ht="15" thickBot="1">
      <c r="B18" s="25" t="s">
        <v>5</v>
      </c>
      <c r="C18" s="13"/>
      <c r="D18" s="13"/>
      <c r="E18" s="14"/>
      <c r="H18" s="1" t="s">
        <v>25</v>
      </c>
      <c r="I18" s="2"/>
      <c r="J18" s="4">
        <f>J14-J17</f>
        <v>134.6199104878749</v>
      </c>
      <c r="K18" s="15" t="s">
        <v>19</v>
      </c>
      <c r="V18" s="1"/>
      <c r="W18" s="15"/>
    </row>
    <row r="19" spans="2:23" ht="15" thickBot="1">
      <c r="B19" s="1"/>
      <c r="C19" s="2"/>
      <c r="D19" s="2"/>
      <c r="E19" s="15"/>
      <c r="H19" s="60" t="s">
        <v>8</v>
      </c>
      <c r="I19" s="61" t="s">
        <v>108</v>
      </c>
      <c r="J19" s="62">
        <f>($J$14-J17)/$D$8</f>
        <v>0.6503377318254826</v>
      </c>
      <c r="K19" s="63" t="s">
        <v>67</v>
      </c>
      <c r="O19" s="108" t="s">
        <v>115</v>
      </c>
      <c r="P19" s="109"/>
      <c r="V19" s="17"/>
      <c r="W19" s="19"/>
    </row>
    <row r="20" spans="2:23">
      <c r="B20" s="1" t="s">
        <v>55</v>
      </c>
      <c r="C20" s="2" t="s">
        <v>29</v>
      </c>
      <c r="D20" s="2">
        <v>208</v>
      </c>
      <c r="E20" s="15" t="s">
        <v>19</v>
      </c>
      <c r="H20" s="1"/>
      <c r="I20" s="2"/>
      <c r="J20" s="2"/>
      <c r="K20" s="15"/>
      <c r="O20" s="42">
        <f>$D$20</f>
        <v>208</v>
      </c>
      <c r="P20" s="43">
        <v>0</v>
      </c>
    </row>
    <row r="21" spans="2:23" ht="15" thickBot="1">
      <c r="B21" s="1" t="s">
        <v>56</v>
      </c>
      <c r="C21" s="2" t="s">
        <v>26</v>
      </c>
      <c r="D21" s="2">
        <v>160</v>
      </c>
      <c r="E21" s="15" t="s">
        <v>19</v>
      </c>
      <c r="H21" s="1" t="s">
        <v>217</v>
      </c>
      <c r="I21" s="2" t="s">
        <v>23</v>
      </c>
      <c r="J21" s="2">
        <v>1408</v>
      </c>
      <c r="K21" s="15" t="s">
        <v>19</v>
      </c>
      <c r="O21" s="44">
        <f>$D$20</f>
        <v>208</v>
      </c>
      <c r="P21" s="45">
        <f>$D$23</f>
        <v>0</v>
      </c>
      <c r="V21" s="12" t="s">
        <v>41</v>
      </c>
      <c r="W21" s="14"/>
    </row>
    <row r="22" spans="2:23" ht="15" thickBot="1">
      <c r="B22" s="1" t="s">
        <v>57</v>
      </c>
      <c r="C22" s="2" t="s">
        <v>27</v>
      </c>
      <c r="D22" s="3">
        <v>230</v>
      </c>
      <c r="E22" s="15" t="s">
        <v>19</v>
      </c>
      <c r="H22" s="1" t="s">
        <v>218</v>
      </c>
      <c r="I22" s="2"/>
      <c r="J22" s="4">
        <f>J14-J21</f>
        <v>246.31991048787495</v>
      </c>
      <c r="K22" s="15" t="s">
        <v>19</v>
      </c>
      <c r="V22" s="1">
        <f>D44/2+D7</f>
        <v>179</v>
      </c>
      <c r="W22" s="15">
        <f>D49</f>
        <v>1237.4000000000001</v>
      </c>
    </row>
    <row r="23" spans="2:23" ht="15" thickBot="1">
      <c r="B23" s="1" t="s">
        <v>58</v>
      </c>
      <c r="C23" s="2" t="s">
        <v>28</v>
      </c>
      <c r="D23" s="3">
        <v>0</v>
      </c>
      <c r="E23" s="15" t="s">
        <v>19</v>
      </c>
      <c r="H23" s="60" t="s">
        <v>7</v>
      </c>
      <c r="I23" s="61" t="s">
        <v>107</v>
      </c>
      <c r="J23" s="62">
        <f>($J$14-J21)/$D$8</f>
        <v>1.1899512583955312</v>
      </c>
      <c r="K23" s="63" t="s">
        <v>67</v>
      </c>
      <c r="O23" s="108" t="s">
        <v>112</v>
      </c>
      <c r="P23" s="109"/>
      <c r="V23" s="1">
        <f>D7</f>
        <v>103.5</v>
      </c>
      <c r="W23" s="15">
        <f>D45</f>
        <v>1472.5</v>
      </c>
    </row>
    <row r="24" spans="2:23" ht="15" thickBot="1">
      <c r="B24" s="1" t="s">
        <v>78</v>
      </c>
      <c r="C24" s="24" t="s">
        <v>79</v>
      </c>
      <c r="D24" s="4">
        <v>0</v>
      </c>
      <c r="E24" s="15" t="s">
        <v>80</v>
      </c>
      <c r="O24" s="46">
        <f>$D$20/3*(($D$21+2*$D$22)/($D$21+$D$22))</f>
        <v>110.22222222222221</v>
      </c>
      <c r="P24" s="47">
        <f>$J$11-$D$68</f>
        <v>49.273504273504386</v>
      </c>
      <c r="V24" s="1">
        <f>D7</f>
        <v>103.5</v>
      </c>
      <c r="W24" s="15">
        <f>D45+D43</f>
        <v>2272.5</v>
      </c>
    </row>
    <row r="25" spans="2:23" ht="15" thickBot="1">
      <c r="B25" s="1" t="s">
        <v>167</v>
      </c>
      <c r="C25" s="24"/>
      <c r="D25" s="4">
        <f>TAN(D24/180*PI())*D20</f>
        <v>0</v>
      </c>
      <c r="E25" s="15"/>
      <c r="H25" t="s">
        <v>206</v>
      </c>
      <c r="I25" t="s">
        <v>207</v>
      </c>
      <c r="J25">
        <v>1446.5</v>
      </c>
      <c r="K25" t="s">
        <v>19</v>
      </c>
      <c r="V25" s="1">
        <f>V24+D44</f>
        <v>254.5</v>
      </c>
      <c r="W25" s="15">
        <f>D45+D43</f>
        <v>2272.5</v>
      </c>
    </row>
    <row r="26" spans="2:23" ht="15" thickBot="1">
      <c r="B26" s="1" t="s">
        <v>102</v>
      </c>
      <c r="C26" s="24" t="s">
        <v>103</v>
      </c>
      <c r="D26" s="4"/>
      <c r="E26" s="15"/>
      <c r="O26" s="108" t="s">
        <v>113</v>
      </c>
      <c r="P26" s="109"/>
      <c r="V26" s="1">
        <f>V25</f>
        <v>254.5</v>
      </c>
      <c r="W26" s="15">
        <f>W23</f>
        <v>1472.5</v>
      </c>
    </row>
    <row r="27" spans="2:23">
      <c r="B27" t="s">
        <v>106</v>
      </c>
      <c r="C27" s="2"/>
      <c r="D27" s="2"/>
      <c r="E27" s="15"/>
      <c r="O27" s="42">
        <v>0</v>
      </c>
      <c r="P27" s="43">
        <f>0.25*$D$21</f>
        <v>40</v>
      </c>
      <c r="V27" s="17">
        <f>V22</f>
        <v>179</v>
      </c>
      <c r="W27" s="19">
        <f>W22</f>
        <v>1237.4000000000001</v>
      </c>
    </row>
    <row r="28" spans="2:23" ht="15" thickBot="1">
      <c r="B28" s="1"/>
      <c r="C28" s="2"/>
      <c r="D28" s="2"/>
      <c r="E28" s="15"/>
      <c r="N28" s="7"/>
      <c r="O28" s="44">
        <f>D20</f>
        <v>208</v>
      </c>
      <c r="P28" s="45">
        <f>D23+0.25*D22</f>
        <v>57.5</v>
      </c>
    </row>
    <row r="29" spans="2:23" ht="15" thickBot="1">
      <c r="B29" s="16" t="s">
        <v>44</v>
      </c>
      <c r="C29" s="2"/>
      <c r="D29" s="2"/>
      <c r="E29" s="15"/>
      <c r="N29" s="7"/>
      <c r="O29" s="108" t="s">
        <v>114</v>
      </c>
      <c r="P29" s="109"/>
      <c r="V29" s="12" t="s">
        <v>135</v>
      </c>
      <c r="W29" s="14"/>
    </row>
    <row r="30" spans="2:23">
      <c r="B30" s="1" t="s">
        <v>48</v>
      </c>
      <c r="C30" s="2"/>
      <c r="D30" s="2">
        <v>2</v>
      </c>
      <c r="E30" s="15"/>
      <c r="F30" s="30" t="s">
        <v>42</v>
      </c>
      <c r="G30" s="20"/>
      <c r="N30" s="7"/>
      <c r="O30" s="48">
        <f>O24</f>
        <v>110.22222222222221</v>
      </c>
      <c r="P30" s="49">
        <f>TAN(RADIANS(D24))*O24</f>
        <v>0</v>
      </c>
      <c r="V30" s="1">
        <v>0</v>
      </c>
      <c r="W30" s="15">
        <v>0</v>
      </c>
    </row>
    <row r="31" spans="2:23" ht="15" thickBot="1">
      <c r="B31" s="1"/>
      <c r="C31" s="2"/>
      <c r="D31" s="2"/>
      <c r="E31" s="15"/>
      <c r="F31" s="29" t="s">
        <v>45</v>
      </c>
      <c r="G31" s="20"/>
      <c r="N31" s="7"/>
      <c r="O31" s="50">
        <f>O24</f>
        <v>110.22222222222221</v>
      </c>
      <c r="P31" s="51">
        <f>(D21+D22)/2</f>
        <v>195</v>
      </c>
      <c r="V31" s="1">
        <v>0</v>
      </c>
      <c r="W31" s="15">
        <f>D14</f>
        <v>317.5</v>
      </c>
    </row>
    <row r="32" spans="2:23">
      <c r="B32" s="1" t="s">
        <v>35</v>
      </c>
      <c r="C32" s="2" t="s">
        <v>43</v>
      </c>
      <c r="D32" s="2">
        <f>IF(D30=1,1630,IF(D30=2,1470,IF(D30=3,2700,IF(D30=4,780))))</f>
        <v>1470</v>
      </c>
      <c r="E32" s="15" t="s">
        <v>52</v>
      </c>
      <c r="F32" s="30" t="s">
        <v>46</v>
      </c>
      <c r="G32" s="21"/>
      <c r="N32" s="7"/>
      <c r="P32" s="5"/>
      <c r="V32" s="1">
        <f>D7</f>
        <v>103.5</v>
      </c>
      <c r="W32" s="15">
        <f>D14</f>
        <v>317.5</v>
      </c>
    </row>
    <row r="33" spans="2:23">
      <c r="B33" s="1" t="s">
        <v>50</v>
      </c>
      <c r="C33" s="2"/>
      <c r="D33" s="2">
        <v>3</v>
      </c>
      <c r="E33" s="15" t="s">
        <v>19</v>
      </c>
      <c r="F33" s="30" t="s">
        <v>47</v>
      </c>
      <c r="G33" s="20"/>
      <c r="N33" s="7"/>
      <c r="P33" s="4"/>
      <c r="V33" s="1">
        <f>V16*5/6</f>
        <v>86.25</v>
      </c>
      <c r="W33" s="15">
        <f>D14/2</f>
        <v>158.75</v>
      </c>
    </row>
    <row r="34" spans="2:23">
      <c r="B34" s="1" t="s">
        <v>49</v>
      </c>
      <c r="C34" s="2"/>
      <c r="D34" s="4">
        <f>(D22*D20+((D21-D22)*D20)/2)/100*D33/10*D32/1000</f>
        <v>178.86960000000005</v>
      </c>
      <c r="E34" s="15" t="s">
        <v>51</v>
      </c>
      <c r="F34" s="30"/>
      <c r="G34" s="20"/>
      <c r="N34" s="7"/>
      <c r="P34" s="11"/>
      <c r="V34" s="1">
        <f>V16*2/3</f>
        <v>69</v>
      </c>
      <c r="W34" s="15">
        <f>D14/4</f>
        <v>79.375</v>
      </c>
    </row>
    <row r="35" spans="2:23">
      <c r="B35" s="17" t="s">
        <v>168</v>
      </c>
      <c r="C35" s="18"/>
      <c r="D35" s="26">
        <f>D34*D10</f>
        <v>715.47840000000019</v>
      </c>
      <c r="E35" s="19" t="s">
        <v>51</v>
      </c>
      <c r="N35" s="7"/>
      <c r="P35" s="5"/>
      <c r="V35" s="17">
        <v>0</v>
      </c>
      <c r="W35" s="19">
        <v>0</v>
      </c>
    </row>
    <row r="36" spans="2:23" ht="15" thickBot="1">
      <c r="B36" s="12"/>
      <c r="C36" s="13"/>
      <c r="D36" s="13"/>
      <c r="E36" s="14"/>
    </row>
    <row r="37" spans="2:23" ht="15" thickBot="1">
      <c r="B37" s="16" t="s">
        <v>41</v>
      </c>
      <c r="C37" s="2"/>
      <c r="D37" s="2"/>
      <c r="E37" s="15"/>
      <c r="V37" s="108" t="s">
        <v>112</v>
      </c>
      <c r="W37" s="109"/>
    </row>
    <row r="38" spans="2:23" ht="15" thickBot="1">
      <c r="B38" s="1"/>
      <c r="C38" s="2"/>
      <c r="D38" s="2"/>
      <c r="E38" s="15"/>
      <c r="V38" s="46">
        <v>0</v>
      </c>
      <c r="W38" s="47">
        <f>J14</f>
        <v>1654.3199104878749</v>
      </c>
    </row>
    <row r="39" spans="2:23" ht="15" thickBot="1">
      <c r="B39" s="1" t="s">
        <v>82</v>
      </c>
      <c r="C39" s="2"/>
      <c r="D39" s="2">
        <v>2</v>
      </c>
      <c r="E39" s="15"/>
      <c r="F39" s="28" t="s">
        <v>83</v>
      </c>
    </row>
    <row r="40" spans="2:23" ht="15" thickBot="1">
      <c r="B40" s="1"/>
      <c r="C40" s="2"/>
      <c r="D40" s="2"/>
      <c r="E40" s="15"/>
      <c r="F40" s="28" t="s">
        <v>84</v>
      </c>
      <c r="V40" s="108" t="s">
        <v>136</v>
      </c>
      <c r="W40" s="109"/>
    </row>
    <row r="41" spans="2:23" ht="15" thickBot="1">
      <c r="B41" s="1"/>
      <c r="C41" s="2"/>
      <c r="D41" s="2"/>
      <c r="E41" s="15"/>
      <c r="F41" s="28" t="s">
        <v>85</v>
      </c>
      <c r="V41" s="46">
        <f>D7+O24</f>
        <v>213.72222222222223</v>
      </c>
      <c r="W41" s="47">
        <f>J11</f>
        <v>2141.7735042735044</v>
      </c>
    </row>
    <row r="42" spans="2:23" ht="15" thickBot="1">
      <c r="B42" s="16" t="s">
        <v>86</v>
      </c>
      <c r="C42" s="2"/>
      <c r="D42" s="2"/>
      <c r="E42" s="15"/>
      <c r="F42" s="28" t="s">
        <v>116</v>
      </c>
    </row>
    <row r="43" spans="2:23" ht="15" thickBot="1">
      <c r="B43" s="1" t="s">
        <v>87</v>
      </c>
      <c r="C43" s="2" t="s">
        <v>89</v>
      </c>
      <c r="D43" s="2">
        <v>800</v>
      </c>
      <c r="E43" s="15" t="s">
        <v>19</v>
      </c>
      <c r="F43" s="28"/>
      <c r="V43" s="108" t="s">
        <v>137</v>
      </c>
      <c r="W43" s="109"/>
    </row>
    <row r="44" spans="2:23" ht="15" thickBot="1">
      <c r="B44" s="1" t="s">
        <v>88</v>
      </c>
      <c r="C44" s="2" t="s">
        <v>90</v>
      </c>
      <c r="D44" s="2">
        <v>151</v>
      </c>
      <c r="E44" s="15" t="s">
        <v>19</v>
      </c>
      <c r="F44" s="28"/>
      <c r="V44" s="46">
        <v>0</v>
      </c>
      <c r="W44" s="47">
        <f>J10</f>
        <v>147.95500000000001</v>
      </c>
    </row>
    <row r="45" spans="2:23" ht="15" thickBot="1">
      <c r="B45" s="1" t="s">
        <v>11</v>
      </c>
      <c r="C45" s="2" t="s">
        <v>91</v>
      </c>
      <c r="D45" s="2">
        <f>1472.5</f>
        <v>1472.5</v>
      </c>
      <c r="E45" s="15" t="s">
        <v>19</v>
      </c>
      <c r="F45" s="28"/>
    </row>
    <row r="46" spans="2:23" ht="15" thickBot="1">
      <c r="B46" s="1" t="s">
        <v>92</v>
      </c>
      <c r="C46" s="9" t="s">
        <v>93</v>
      </c>
      <c r="D46" s="2">
        <v>2</v>
      </c>
      <c r="E46" s="15" t="s">
        <v>20</v>
      </c>
      <c r="F46" s="28"/>
      <c r="V46" s="108" t="s">
        <v>138</v>
      </c>
      <c r="W46" s="109"/>
    </row>
    <row r="47" spans="2:23" ht="15" thickBot="1">
      <c r="B47" s="1"/>
      <c r="C47" s="2"/>
      <c r="D47" s="2"/>
      <c r="E47" s="15"/>
      <c r="F47" s="28"/>
      <c r="V47" s="46">
        <f>D7+D44/2</f>
        <v>179</v>
      </c>
      <c r="W47" s="47">
        <f>J12</f>
        <v>1346.9566</v>
      </c>
    </row>
    <row r="48" spans="2:23">
      <c r="B48" s="16" t="s">
        <v>18</v>
      </c>
      <c r="C48" s="2"/>
      <c r="D48" s="2"/>
      <c r="E48" s="15"/>
    </row>
    <row r="49" spans="2:14">
      <c r="B49" s="1" t="s">
        <v>21</v>
      </c>
      <c r="C49" s="2"/>
      <c r="D49" s="2">
        <f>D45-D50</f>
        <v>1237.4000000000001</v>
      </c>
      <c r="E49" s="15" t="s">
        <v>19</v>
      </c>
    </row>
    <row r="50" spans="2:14">
      <c r="B50" s="1" t="s">
        <v>1</v>
      </c>
      <c r="C50" s="2"/>
      <c r="D50" s="2">
        <f>1452.5-1217.4</f>
        <v>235.09999999999991</v>
      </c>
      <c r="E50" s="15" t="s">
        <v>19</v>
      </c>
      <c r="H50" t="s">
        <v>173</v>
      </c>
    </row>
    <row r="51" spans="2:14">
      <c r="B51" s="1" t="s">
        <v>4</v>
      </c>
      <c r="C51" s="2"/>
      <c r="D51" s="2"/>
      <c r="E51" s="15"/>
    </row>
    <row r="52" spans="2:14">
      <c r="B52" s="1"/>
      <c r="C52" s="2"/>
      <c r="D52" s="2">
        <v>2</v>
      </c>
      <c r="E52" s="15"/>
      <c r="F52" s="29" t="s">
        <v>71</v>
      </c>
      <c r="G52" s="21"/>
      <c r="H52" t="s">
        <v>174</v>
      </c>
      <c r="I52" t="s">
        <v>175</v>
      </c>
      <c r="J52">
        <f>K52/10</f>
        <v>1.1000000000000001</v>
      </c>
      <c r="K52">
        <v>11</v>
      </c>
    </row>
    <row r="53" spans="2:14">
      <c r="B53" s="1"/>
      <c r="C53" s="2"/>
      <c r="D53" s="2"/>
      <c r="E53" s="15"/>
      <c r="F53" s="28" t="s">
        <v>72</v>
      </c>
      <c r="G53" s="22"/>
      <c r="H53" t="s">
        <v>179</v>
      </c>
      <c r="I53" t="s">
        <v>176</v>
      </c>
      <c r="J53">
        <v>4</v>
      </c>
      <c r="K53" t="s">
        <v>80</v>
      </c>
    </row>
    <row r="54" spans="2:14">
      <c r="B54" s="17"/>
      <c r="C54" s="18"/>
      <c r="D54" s="18"/>
      <c r="E54" s="19"/>
      <c r="F54" s="28" t="s">
        <v>73</v>
      </c>
      <c r="G54" s="22"/>
      <c r="I54" t="s">
        <v>178</v>
      </c>
      <c r="J54">
        <f>J53/180*PI()</f>
        <v>6.9813170079773182E-2</v>
      </c>
      <c r="K54" t="s">
        <v>177</v>
      </c>
    </row>
    <row r="56" spans="2:14" ht="19" thickBot="1">
      <c r="B56" s="115" t="s">
        <v>68</v>
      </c>
      <c r="C56" s="116"/>
      <c r="D56" s="116"/>
      <c r="E56" s="117"/>
      <c r="H56" s="115" t="s">
        <v>169</v>
      </c>
      <c r="I56" s="116"/>
      <c r="J56" s="116"/>
      <c r="K56" s="117"/>
    </row>
    <row r="57" spans="2:14">
      <c r="B57" s="1"/>
      <c r="C57" s="2"/>
      <c r="D57" s="2"/>
      <c r="E57" s="15"/>
    </row>
    <row r="58" spans="2:14">
      <c r="B58" s="16" t="s">
        <v>3</v>
      </c>
      <c r="C58" s="2"/>
      <c r="D58" s="2"/>
      <c r="E58" s="15"/>
      <c r="I58" t="s">
        <v>170</v>
      </c>
      <c r="J58" t="s">
        <v>171</v>
      </c>
      <c r="K58" t="s">
        <v>172</v>
      </c>
      <c r="N58" t="s">
        <v>183</v>
      </c>
    </row>
    <row r="59" spans="2:14">
      <c r="B59" s="1" t="s">
        <v>61</v>
      </c>
      <c r="C59" s="23" t="s">
        <v>76</v>
      </c>
      <c r="D59" s="23">
        <v>2</v>
      </c>
      <c r="E59" s="40" t="s">
        <v>20</v>
      </c>
      <c r="H59" t="s">
        <v>3</v>
      </c>
      <c r="I59" s="71">
        <f>IF($D$15=1,1/2*$D$14*$D$8,IF($D$15=2,2/3*$D$14*$D$8,IF($D$15=3,2/3*$D$14*$D$8,"FEHLER")))</f>
        <v>43815</v>
      </c>
      <c r="J59" s="71">
        <f>IF($D$15=1,2/3*$D$14,IF($D$15=2,5/8*$D$14,IF($D$15=3,3/5*$D$14,"FEHLER")))</f>
        <v>198.4375</v>
      </c>
      <c r="K59" s="11">
        <f>4*$J$52*I59*$J$54/(PI()*$D$8^2)</f>
        <v>9.9982107711576326E-2</v>
      </c>
      <c r="N59">
        <f>K59*J59</f>
        <v>19.840199499015927</v>
      </c>
    </row>
    <row r="60" spans="2:14">
      <c r="B60" s="1" t="s">
        <v>74</v>
      </c>
      <c r="C60" s="23" t="s">
        <v>75</v>
      </c>
      <c r="D60" s="23">
        <f>IF($D$15=1,2/3*$D$14,IF($D$15=2,0.466*$D$14,IF($D$15=3,1/2*$D$14,"FEHLER")))</f>
        <v>147.95500000000001</v>
      </c>
      <c r="E60" s="40" t="s">
        <v>19</v>
      </c>
      <c r="H60" s="2" t="s">
        <v>86</v>
      </c>
      <c r="I60" s="71">
        <f>(D5-D14)*D8</f>
        <v>425385</v>
      </c>
      <c r="J60" s="71">
        <f>D14+(D5-D14)/2</f>
        <v>1345</v>
      </c>
      <c r="K60" s="11">
        <f t="shared" ref="K60:K62" si="2">4*$J$52*I60*$J$54/(PI()*$D$8^2)</f>
        <v>0.97069243156199692</v>
      </c>
      <c r="N60">
        <f t="shared" ref="N60:N62" si="3">K60*J60</f>
        <v>1305.5813204508859</v>
      </c>
    </row>
    <row r="61" spans="2:14" s="2" customFormat="1">
      <c r="B61" s="1"/>
      <c r="D61" s="10"/>
      <c r="E61" s="35"/>
      <c r="H61" s="9" t="s">
        <v>180</v>
      </c>
      <c r="I61" s="71">
        <f>IF($D$15=1,1/2*$D$50*$D$44,IF($D$15=2,2/3*$D$50*$D$44,IF($D$15=3,2/3*$D$50*$D$44,"FEHLER")))</f>
        <v>23666.733333333323</v>
      </c>
      <c r="J61" s="71">
        <f>IF($D$15=1,$D$49+2/3*$D$50,IF($D$15=2,$D$49+5/8*$D$50,IF($D$15=3,$D$49+3/5*$D$50,"FEHLER")))</f>
        <v>1384.3375000000001</v>
      </c>
      <c r="K61" s="11">
        <f t="shared" si="2"/>
        <v>5.4005474867385279E-2</v>
      </c>
      <c r="L61"/>
      <c r="M61"/>
      <c r="N61">
        <f t="shared" si="3"/>
        <v>74.761804064228969</v>
      </c>
    </row>
    <row r="62" spans="2:14" s="2" customFormat="1">
      <c r="B62" s="16" t="s">
        <v>32</v>
      </c>
      <c r="E62" s="15"/>
      <c r="H62" s="9" t="s">
        <v>181</v>
      </c>
      <c r="I62" s="71">
        <f>(D43*D44)</f>
        <v>120800</v>
      </c>
      <c r="J62" s="71">
        <f>D45+(D43/2)</f>
        <v>1872.5</v>
      </c>
      <c r="K62" s="11">
        <f t="shared" si="2"/>
        <v>0.2756553374770836</v>
      </c>
      <c r="L62"/>
      <c r="M62"/>
      <c r="N62">
        <f t="shared" si="3"/>
        <v>516.16461942583908</v>
      </c>
    </row>
    <row r="63" spans="2:14" s="2" customFormat="1">
      <c r="B63" s="31" t="s">
        <v>33</v>
      </c>
      <c r="C63" s="2" t="s">
        <v>26</v>
      </c>
      <c r="D63" s="2">
        <f>D21</f>
        <v>160</v>
      </c>
      <c r="E63" s="15"/>
    </row>
    <row r="64" spans="2:14" s="2" customFormat="1">
      <c r="B64" s="31" t="s">
        <v>34</v>
      </c>
      <c r="C64" s="2" t="s">
        <v>27</v>
      </c>
      <c r="D64" s="2">
        <f>D22</f>
        <v>230</v>
      </c>
      <c r="E64" s="15"/>
      <c r="H64"/>
      <c r="I64"/>
      <c r="J64"/>
      <c r="K64"/>
    </row>
    <row r="65" spans="2:22" s="2" customFormat="1">
      <c r="B65" s="31" t="s">
        <v>77</v>
      </c>
      <c r="C65" s="2" t="s">
        <v>29</v>
      </c>
      <c r="D65" s="2">
        <f>D20</f>
        <v>208</v>
      </c>
      <c r="E65" s="15"/>
      <c r="H65" t="s">
        <v>182</v>
      </c>
      <c r="I65" s="71">
        <f>SUM(I59:I64)</f>
        <v>613666.7333333334</v>
      </c>
      <c r="J65"/>
      <c r="K65">
        <f>SUM(K59:K64)</f>
        <v>1.4003353516180421</v>
      </c>
      <c r="N65">
        <f>SUM(N59:N64)</f>
        <v>1916.3479434399696</v>
      </c>
    </row>
    <row r="66" spans="2:22">
      <c r="B66" s="32" t="s">
        <v>36</v>
      </c>
      <c r="C66" s="2" t="s">
        <v>30</v>
      </c>
      <c r="D66" s="4">
        <f>SQRT(D65^2+((D64-D63)/2+D67)^2)</f>
        <v>210.92415698539605</v>
      </c>
      <c r="E66" s="15"/>
      <c r="H66" s="7"/>
      <c r="I66" s="7"/>
      <c r="J66" s="7"/>
      <c r="K66" s="7"/>
    </row>
    <row r="67" spans="2:22">
      <c r="B67" s="32"/>
      <c r="C67" s="2" t="s">
        <v>37</v>
      </c>
      <c r="D67" s="3">
        <f>D23</f>
        <v>0</v>
      </c>
      <c r="E67" s="15"/>
      <c r="I67" s="7" t="s">
        <v>184</v>
      </c>
      <c r="J67" t="s">
        <v>213</v>
      </c>
      <c r="K67" t="s">
        <v>214</v>
      </c>
    </row>
    <row r="68" spans="2:22">
      <c r="B68" s="32"/>
      <c r="C68" s="2" t="s">
        <v>70</v>
      </c>
      <c r="D68" s="2">
        <f>$D$5-120-D63</f>
        <v>2092.5</v>
      </c>
      <c r="E68" s="15"/>
      <c r="I68" s="78">
        <f>(J5*J10+J6*J11+J7*J12)/(J5+J6+J7)</f>
        <v>1654.3199104878749</v>
      </c>
      <c r="J68" s="79">
        <f>(J5*J10+N59+J6*J11+N60+J7*J12+2*N61+2*N62)/(J5+J6+J7+K59+K60+2*K61+2*K62)</f>
        <v>1632.7353930556951</v>
      </c>
      <c r="K68" s="2">
        <f>(J5*J10+N59+J6*J11+N60+J7*J12+N61)/(J5+J6+J7+K59+K60+K61)</f>
        <v>1625.2313321959555</v>
      </c>
      <c r="L68" s="7"/>
      <c r="M68" s="7"/>
      <c r="O68" s="2"/>
      <c r="P68" s="7"/>
      <c r="Q68" s="7"/>
      <c r="R68" s="7"/>
      <c r="S68" s="7"/>
      <c r="T68" s="7"/>
      <c r="U68" s="7"/>
      <c r="V68" s="7"/>
    </row>
    <row r="69" spans="2:22" ht="15" thickBot="1">
      <c r="B69" s="32"/>
      <c r="C69" s="2"/>
      <c r="D69" s="5">
        <f>(4*$D$10*((D65/$D$8)^2)/(1+SQRT(1+(2*D66/(D63+D64))^2)))</f>
        <v>6.5322994224582329</v>
      </c>
      <c r="E69" s="15"/>
      <c r="H69" s="2"/>
      <c r="J69">
        <v>1563</v>
      </c>
      <c r="L69" s="7"/>
      <c r="M69" s="7"/>
      <c r="O69" s="2"/>
      <c r="P69" s="7"/>
      <c r="Q69" s="7"/>
      <c r="R69" s="7"/>
      <c r="S69" s="7"/>
      <c r="T69" s="7"/>
      <c r="U69" s="7"/>
    </row>
    <row r="70" spans="2:22">
      <c r="B70" s="1"/>
      <c r="C70" s="38" t="s">
        <v>38</v>
      </c>
      <c r="D70" s="39">
        <f>D69*D82</f>
        <v>8.7027424087324778</v>
      </c>
      <c r="E70" s="40" t="s">
        <v>20</v>
      </c>
      <c r="H70" s="72" t="s">
        <v>185</v>
      </c>
      <c r="I70" s="73" t="s">
        <v>188</v>
      </c>
      <c r="J70" s="73" t="s">
        <v>189</v>
      </c>
      <c r="K70" s="53" t="s">
        <v>198</v>
      </c>
      <c r="O70" s="2"/>
    </row>
    <row r="71" spans="2:22" ht="28">
      <c r="B71" s="1"/>
      <c r="C71" s="38" t="s">
        <v>39</v>
      </c>
      <c r="D71" s="41">
        <f>D68+D67/3*(D63+2*D64)/(D63+D64)+1/6*(D63+D64-D63*D64/(D64+D63))</f>
        <v>2141.7735042735044</v>
      </c>
      <c r="E71" s="40" t="s">
        <v>19</v>
      </c>
      <c r="H71" s="74" t="s">
        <v>186</v>
      </c>
      <c r="I71" s="11">
        <f>($I$68-J21)/$D$8</f>
        <v>1.1899512583955312</v>
      </c>
      <c r="J71" s="11">
        <f>($J$68-J21)/$D$8</f>
        <v>1.0856782273221985</v>
      </c>
      <c r="K71" s="92">
        <f>($K$68-J21)/$D$8</f>
        <v>1.0494267255843259</v>
      </c>
      <c r="L71" s="2"/>
      <c r="M71" s="2"/>
      <c r="N71" s="2"/>
      <c r="Q71" s="2"/>
      <c r="R71" s="2"/>
      <c r="S71" s="2"/>
      <c r="T71" s="2"/>
      <c r="U71" s="2"/>
      <c r="V71" s="7"/>
    </row>
    <row r="72" spans="2:22" ht="29" thickBot="1">
      <c r="B72" s="32"/>
      <c r="C72" s="7" t="s">
        <v>81</v>
      </c>
      <c r="D72" s="4">
        <v>1962.8571428571427</v>
      </c>
      <c r="E72" s="15" t="s">
        <v>19</v>
      </c>
      <c r="H72" s="75" t="s">
        <v>187</v>
      </c>
      <c r="I72" s="76">
        <f>($I$68-J17)/$D$8</f>
        <v>0.6503377318254826</v>
      </c>
      <c r="J72" s="76">
        <f>($J$68-J17)/$D$8</f>
        <v>0.54606470075215008</v>
      </c>
      <c r="K72" s="92">
        <f>($K$68-J17)/$D$8</f>
        <v>0.50981319901427746</v>
      </c>
    </row>
    <row r="73" spans="2:22" ht="15" thickBot="1">
      <c r="B73" s="32"/>
      <c r="C73" s="7"/>
      <c r="D73" s="4"/>
      <c r="E73" s="15"/>
      <c r="H73" s="75" t="s">
        <v>191</v>
      </c>
      <c r="I73" s="76">
        <f>(I$68-$J$25)/$D$8</f>
        <v>1.00396092023128</v>
      </c>
      <c r="J73" s="76">
        <f t="shared" ref="J73:K73" si="4">(J$68-$J$25)/$D$8</f>
        <v>0.8996878891579474</v>
      </c>
      <c r="K73" s="76">
        <f t="shared" si="4"/>
        <v>0.86343638742007478</v>
      </c>
      <c r="V73" s="2"/>
    </row>
    <row r="74" spans="2:22">
      <c r="B74" s="32" t="s">
        <v>148</v>
      </c>
      <c r="C74" s="7" t="s">
        <v>149</v>
      </c>
      <c r="D74" s="4">
        <v>2</v>
      </c>
      <c r="E74" s="15" t="s">
        <v>19</v>
      </c>
      <c r="H74" s="9"/>
      <c r="I74" s="11"/>
      <c r="J74" s="11"/>
      <c r="K74" s="11"/>
    </row>
    <row r="75" spans="2:22">
      <c r="B75" s="32"/>
      <c r="C75" s="7" t="s">
        <v>150</v>
      </c>
      <c r="D75" s="4">
        <v>2</v>
      </c>
      <c r="E75" s="15" t="s">
        <v>19</v>
      </c>
      <c r="H75" t="s">
        <v>199</v>
      </c>
      <c r="I75" s="11"/>
      <c r="J75" s="11"/>
      <c r="K75" s="2"/>
    </row>
    <row r="76" spans="2:22">
      <c r="B76" s="32" t="s">
        <v>164</v>
      </c>
      <c r="C76" s="7"/>
      <c r="D76" s="4">
        <f>(D21+D22)/2*D20</f>
        <v>40560</v>
      </c>
      <c r="E76" s="15" t="s">
        <v>122</v>
      </c>
      <c r="H76" t="s">
        <v>186</v>
      </c>
      <c r="J76" s="2">
        <v>89</v>
      </c>
      <c r="K76">
        <v>73</v>
      </c>
      <c r="O76" s="11">
        <f>J76/180*PI()</f>
        <v>1.5533430342749532</v>
      </c>
      <c r="P76" s="11">
        <f>K76/180*PI()</f>
        <v>1.2740903539558606</v>
      </c>
    </row>
    <row r="77" spans="2:22">
      <c r="B77" s="32"/>
      <c r="C77" s="7"/>
      <c r="D77" s="4">
        <f>D76/100</f>
        <v>405.6</v>
      </c>
      <c r="E77" s="15" t="s">
        <v>166</v>
      </c>
      <c r="H77" t="s">
        <v>187</v>
      </c>
      <c r="J77">
        <v>66</v>
      </c>
      <c r="K77">
        <v>25</v>
      </c>
      <c r="O77" s="11">
        <f t="shared" ref="O77:O78" si="5">J77/180*PI()</f>
        <v>1.1519173063162573</v>
      </c>
      <c r="P77" s="11">
        <f>K77/180*PI()</f>
        <v>0.43633231299858238</v>
      </c>
    </row>
    <row r="78" spans="2:22">
      <c r="B78" s="32"/>
      <c r="C78" s="7"/>
      <c r="D78" s="70">
        <f>D76/1000000</f>
        <v>4.0559999999999999E-2</v>
      </c>
      <c r="E78" s="15" t="s">
        <v>165</v>
      </c>
      <c r="H78" t="s">
        <v>191</v>
      </c>
      <c r="J78">
        <v>89</v>
      </c>
      <c r="K78">
        <v>48</v>
      </c>
      <c r="O78" s="11">
        <f t="shared" si="5"/>
        <v>1.5533430342749532</v>
      </c>
      <c r="P78" s="11">
        <f t="shared" ref="P78" si="6">K78/180*PI()</f>
        <v>0.83775804095727813</v>
      </c>
    </row>
    <row r="79" spans="2:22">
      <c r="B79" s="32"/>
      <c r="C79" s="7"/>
      <c r="D79" s="4"/>
      <c r="E79" s="15"/>
    </row>
    <row r="80" spans="2:22">
      <c r="B80" s="37" t="s">
        <v>101</v>
      </c>
      <c r="C80" s="7"/>
      <c r="E80" s="15"/>
      <c r="H80" t="s">
        <v>208</v>
      </c>
      <c r="J80" s="11"/>
    </row>
    <row r="81" spans="2:16">
      <c r="B81" s="32" t="s">
        <v>105</v>
      </c>
      <c r="C81" s="7"/>
      <c r="D81" s="3">
        <f>D10</f>
        <v>4</v>
      </c>
      <c r="E81" s="15" t="s">
        <v>20</v>
      </c>
      <c r="F81" s="28">
        <v>1</v>
      </c>
      <c r="H81" t="s">
        <v>186</v>
      </c>
      <c r="J81" s="4">
        <v>35.5</v>
      </c>
      <c r="K81" s="77">
        <v>25</v>
      </c>
      <c r="O81" s="11">
        <f>J81/180*PI()</f>
        <v>0.61959188445798696</v>
      </c>
      <c r="P81" s="11">
        <f>K81/180*PI()</f>
        <v>0.43633231299858238</v>
      </c>
    </row>
    <row r="82" spans="2:16">
      <c r="B82" s="32" t="s">
        <v>101</v>
      </c>
      <c r="C82" s="7" t="s">
        <v>103</v>
      </c>
      <c r="D82" s="11">
        <f>IF(F81=1,IF(D81&lt;=4,1+D7/(D20+D7),IF(D81=6,1+0.5*D7/(D20+D7),1)),1)</f>
        <v>1.332263242375602</v>
      </c>
      <c r="E82" s="15" t="s">
        <v>20</v>
      </c>
      <c r="F82" s="28" t="s">
        <v>104</v>
      </c>
      <c r="H82" t="s">
        <v>187</v>
      </c>
      <c r="J82" s="4">
        <v>5.6</v>
      </c>
      <c r="K82" s="77">
        <v>4</v>
      </c>
      <c r="O82" s="11">
        <f t="shared" ref="O82:O83" si="7">J82/180*PI()</f>
        <v>9.7738438111682452E-2</v>
      </c>
      <c r="P82" s="11">
        <f>K82/180*PI()</f>
        <v>6.9813170079773182E-2</v>
      </c>
    </row>
    <row r="83" spans="2:16">
      <c r="B83" s="32"/>
      <c r="C83" s="2"/>
      <c r="D83" s="3"/>
      <c r="E83" s="15"/>
      <c r="H83" t="s">
        <v>191</v>
      </c>
      <c r="J83" s="4">
        <v>26</v>
      </c>
      <c r="K83" s="77">
        <v>14</v>
      </c>
      <c r="O83" s="11">
        <f t="shared" si="7"/>
        <v>0.45378560551852565</v>
      </c>
      <c r="P83" s="11">
        <f t="shared" ref="P83" si="8">K83/180*PI()</f>
        <v>0.24434609527920614</v>
      </c>
    </row>
    <row r="84" spans="2:16">
      <c r="B84" s="36" t="s">
        <v>41</v>
      </c>
      <c r="C84" s="2"/>
      <c r="D84" s="3"/>
      <c r="E84" s="15"/>
      <c r="J84" s="11"/>
    </row>
    <row r="85" spans="2:16">
      <c r="B85" s="1"/>
      <c r="C85" s="2"/>
      <c r="D85" s="2"/>
      <c r="E85" s="15"/>
      <c r="J85" s="11"/>
    </row>
    <row r="86" spans="2:16">
      <c r="B86" s="1" t="s">
        <v>98</v>
      </c>
      <c r="C86" s="2"/>
      <c r="D86" s="2">
        <f>$D$39</f>
        <v>2</v>
      </c>
      <c r="E86" s="15"/>
    </row>
    <row r="87" spans="2:16">
      <c r="B87" s="1" t="s">
        <v>63</v>
      </c>
      <c r="C87" s="38" t="s">
        <v>94</v>
      </c>
      <c r="D87" s="39">
        <f>IF($D$86=1,D98,IF($D$86=2,D103,IF($D$86=4,D114,0)))</f>
        <v>4</v>
      </c>
      <c r="E87" s="40" t="s">
        <v>20</v>
      </c>
      <c r="H87" s="12" t="s">
        <v>194</v>
      </c>
      <c r="I87" s="13" t="s">
        <v>195</v>
      </c>
      <c r="J87" s="13">
        <v>10</v>
      </c>
      <c r="K87" s="14" t="s">
        <v>192</v>
      </c>
    </row>
    <row r="88" spans="2:16">
      <c r="B88" s="1" t="s">
        <v>100</v>
      </c>
      <c r="C88" s="38" t="s">
        <v>95</v>
      </c>
      <c r="D88" s="39">
        <f>IF($D$86=1,D99,IF($D$86=2,D104,IF($D$86=4,D115,0)))</f>
        <v>1346.9566</v>
      </c>
      <c r="E88" s="40" t="s">
        <v>19</v>
      </c>
      <c r="H88" s="1" t="s">
        <v>190</v>
      </c>
      <c r="I88" s="2" t="s">
        <v>193</v>
      </c>
      <c r="J88" s="2">
        <v>45</v>
      </c>
      <c r="K88" s="15" t="s">
        <v>192</v>
      </c>
    </row>
    <row r="89" spans="2:16">
      <c r="B89" s="1"/>
      <c r="C89" s="2"/>
      <c r="D89" s="2"/>
      <c r="E89" s="15"/>
      <c r="H89" s="1" t="s">
        <v>196</v>
      </c>
      <c r="I89" s="2" t="s">
        <v>202</v>
      </c>
      <c r="J89" s="2">
        <v>90</v>
      </c>
      <c r="K89" s="15" t="s">
        <v>192</v>
      </c>
    </row>
    <row r="90" spans="2:16">
      <c r="B90" s="1"/>
      <c r="C90" s="2"/>
      <c r="D90" s="2"/>
      <c r="E90" s="15"/>
      <c r="H90" s="17" t="s">
        <v>201</v>
      </c>
      <c r="I90" s="18"/>
      <c r="J90" s="18">
        <v>30</v>
      </c>
      <c r="K90" s="19" t="s">
        <v>192</v>
      </c>
    </row>
    <row r="91" spans="2:16">
      <c r="B91" s="12" t="s">
        <v>99</v>
      </c>
      <c r="C91" s="13"/>
      <c r="D91" s="13">
        <v>1</v>
      </c>
      <c r="E91" s="14"/>
      <c r="J91" s="113" t="s">
        <v>209</v>
      </c>
      <c r="K91" s="114"/>
      <c r="O91" s="113" t="s">
        <v>210</v>
      </c>
      <c r="P91" s="114"/>
    </row>
    <row r="92" spans="2:16">
      <c r="B92" s="31" t="s">
        <v>33</v>
      </c>
      <c r="C92" s="2" t="s">
        <v>26</v>
      </c>
      <c r="D92" s="2">
        <f>D43</f>
        <v>800</v>
      </c>
      <c r="E92" s="15"/>
      <c r="H92" s="12" t="s">
        <v>203</v>
      </c>
      <c r="I92" s="13"/>
      <c r="J92" s="12"/>
      <c r="K92" s="14"/>
      <c r="L92" s="13"/>
      <c r="M92" s="13"/>
      <c r="N92" s="13"/>
      <c r="O92" s="12"/>
      <c r="P92" s="14"/>
    </row>
    <row r="93" spans="2:16">
      <c r="B93" s="31" t="s">
        <v>34</v>
      </c>
      <c r="C93" s="2" t="s">
        <v>27</v>
      </c>
      <c r="D93" s="2">
        <f>D43</f>
        <v>800</v>
      </c>
      <c r="E93" s="15"/>
      <c r="H93" s="1" t="s">
        <v>197</v>
      </c>
      <c r="I93" s="2"/>
      <c r="J93" s="84">
        <f>TAN(O76)*$J$87</f>
        <v>572.89961630759149</v>
      </c>
      <c r="K93" s="85">
        <f>TAN(P76)*$J$87</f>
        <v>32.708526184841404</v>
      </c>
      <c r="L93" s="2"/>
      <c r="M93" s="2"/>
      <c r="N93" s="2"/>
      <c r="O93" s="58">
        <f>TAN(O81)*$J$87</f>
        <v>7.1329306789700535</v>
      </c>
      <c r="P93" s="59">
        <f>TAN(P81)*$J$87</f>
        <v>4.6630765815499862</v>
      </c>
    </row>
    <row r="94" spans="2:16">
      <c r="B94" s="31" t="s">
        <v>77</v>
      </c>
      <c r="C94" s="2" t="s">
        <v>29</v>
      </c>
      <c r="D94" s="2">
        <f>D44</f>
        <v>151</v>
      </c>
      <c r="E94" s="15"/>
      <c r="H94" s="1" t="s">
        <v>187</v>
      </c>
      <c r="I94" s="2"/>
      <c r="J94" s="86">
        <f>TAN(O$77)*$J88</f>
        <v>101.07165482568968</v>
      </c>
      <c r="K94" s="82">
        <f>TAN(P$77)*$J88</f>
        <v>20.983844616974935</v>
      </c>
      <c r="L94" s="2"/>
      <c r="M94" s="2"/>
      <c r="N94" s="2"/>
      <c r="O94" s="58">
        <f>TAN(O82)*$J88</f>
        <v>4.4122885777078604</v>
      </c>
      <c r="P94" s="59">
        <f>TAN(P82)*$J88</f>
        <v>3.1467065374579688</v>
      </c>
    </row>
    <row r="95" spans="2:16">
      <c r="B95" s="32" t="s">
        <v>36</v>
      </c>
      <c r="C95" s="2" t="s">
        <v>30</v>
      </c>
      <c r="D95" s="4">
        <f>SQRT(D94^2+((D93-D92)/2+D96)^2)</f>
        <v>151</v>
      </c>
      <c r="E95" s="15"/>
      <c r="H95" s="1" t="s">
        <v>200</v>
      </c>
      <c r="I95" s="2"/>
      <c r="J95" s="86">
        <f>TAN(O$78)*$J89</f>
        <v>5156.0965467683227</v>
      </c>
      <c r="K95" s="82">
        <f>TAN(P$78)*$J89</f>
        <v>99.955126334627352</v>
      </c>
      <c r="L95" s="2"/>
      <c r="M95" s="2"/>
      <c r="N95" s="2"/>
      <c r="O95" s="58">
        <f t="shared" ref="O95:P95" si="9">TAN(O83)*$J89</f>
        <v>43.895932970927525</v>
      </c>
      <c r="P95" s="59">
        <f t="shared" si="9"/>
        <v>22.439520255886261</v>
      </c>
    </row>
    <row r="96" spans="2:16">
      <c r="B96" s="32"/>
      <c r="C96" s="2" t="s">
        <v>37</v>
      </c>
      <c r="D96" s="2">
        <v>0</v>
      </c>
      <c r="E96" s="15"/>
      <c r="H96" s="80" t="s">
        <v>201</v>
      </c>
      <c r="I96" s="18"/>
      <c r="J96" s="87">
        <f>TAN(O$78)*$J90</f>
        <v>1718.6988489227742</v>
      </c>
      <c r="K96" s="83">
        <f>TAN(P$78)*$J90</f>
        <v>33.318375444875784</v>
      </c>
      <c r="L96" s="18"/>
      <c r="M96" s="18"/>
      <c r="N96" s="18"/>
      <c r="O96" s="90">
        <f>TAN(O83)*$J90</f>
        <v>14.631977656975842</v>
      </c>
      <c r="P96" s="91">
        <f>TAN(P83)*$J90</f>
        <v>7.4798400852954208</v>
      </c>
    </row>
    <row r="97" spans="2:16">
      <c r="B97" s="32"/>
      <c r="C97" s="2" t="s">
        <v>70</v>
      </c>
      <c r="D97" s="2">
        <f>D45</f>
        <v>1472.5</v>
      </c>
      <c r="E97" s="15" t="s">
        <v>19</v>
      </c>
      <c r="J97" s="86"/>
      <c r="K97" s="82"/>
      <c r="O97" s="1"/>
      <c r="P97" s="15"/>
    </row>
    <row r="98" spans="2:16">
      <c r="B98" s="1"/>
      <c r="C98" s="7" t="s">
        <v>94</v>
      </c>
      <c r="D98" s="5">
        <f>(1+$D$7/(D94+$D$7))*(2*$D$46*(D94/$D$8)^2/(1+SQRT(1+(2*D95/(D92+D93))^2)))</f>
        <v>1.4839559608723434</v>
      </c>
      <c r="E98" s="15" t="s">
        <v>20</v>
      </c>
      <c r="H98" s="12" t="s">
        <v>204</v>
      </c>
      <c r="I98" s="13"/>
      <c r="J98" s="88"/>
      <c r="K98" s="89"/>
      <c r="L98" s="13"/>
      <c r="M98" s="13"/>
      <c r="N98" s="13"/>
      <c r="O98" s="12"/>
      <c r="P98" s="14"/>
    </row>
    <row r="99" spans="2:16">
      <c r="B99" s="1"/>
      <c r="C99" s="7" t="s">
        <v>95</v>
      </c>
      <c r="D99" s="4">
        <f>D97+D96/3*(D92+2*D93)/(D92+D93)+1/6*(D92+D93-D92*D93/(D93+D92))</f>
        <v>1672.5</v>
      </c>
      <c r="E99" s="15" t="s">
        <v>19</v>
      </c>
      <c r="H99" s="1" t="s">
        <v>197</v>
      </c>
      <c r="I99" s="2"/>
      <c r="J99" s="86">
        <f>J93*3.6</f>
        <v>2062.4386187073296</v>
      </c>
      <c r="K99" s="82">
        <f>K93*3.6</f>
        <v>117.75069426542906</v>
      </c>
      <c r="L99" s="2"/>
      <c r="M99" s="2"/>
      <c r="N99" s="2"/>
      <c r="O99" s="86">
        <f>O93*3.6</f>
        <v>25.678550444292192</v>
      </c>
      <c r="P99" s="82">
        <f>P93*3.6</f>
        <v>16.787075693579951</v>
      </c>
    </row>
    <row r="100" spans="2:16" ht="28">
      <c r="B100" s="33"/>
      <c r="C100" s="8" t="s">
        <v>96</v>
      </c>
      <c r="D100" s="26">
        <v>1555</v>
      </c>
      <c r="E100" s="19" t="s">
        <v>19</v>
      </c>
      <c r="H100" s="1" t="s">
        <v>187</v>
      </c>
      <c r="I100" s="2"/>
      <c r="J100" s="86">
        <f>J94*3.6</f>
        <v>363.85795737248287</v>
      </c>
      <c r="K100" s="82">
        <f>K94*3.6</f>
        <v>75.54184062110977</v>
      </c>
      <c r="L100" s="2"/>
      <c r="M100" s="2"/>
      <c r="N100" s="2"/>
      <c r="O100" s="58">
        <f>O94*3.6</f>
        <v>15.884238879748297</v>
      </c>
      <c r="P100" s="59">
        <f>P94*3.6</f>
        <v>11.328143534848689</v>
      </c>
    </row>
    <row r="101" spans="2:16">
      <c r="B101" s="1"/>
      <c r="C101" s="2"/>
      <c r="D101" s="2"/>
      <c r="E101" s="15"/>
      <c r="H101" s="1" t="s">
        <v>200</v>
      </c>
      <c r="I101" s="2"/>
      <c r="J101" s="86">
        <f t="shared" ref="J101:K101" si="10">J95*3.6</f>
        <v>18561.947568365962</v>
      </c>
      <c r="K101" s="82">
        <f t="shared" si="10"/>
        <v>359.83845480465845</v>
      </c>
      <c r="L101" s="2"/>
      <c r="M101" s="2"/>
      <c r="N101" s="2"/>
      <c r="O101" s="86">
        <f t="shared" ref="O101:P101" si="11">O95*3.6</f>
        <v>158.02535869533909</v>
      </c>
      <c r="P101" s="82">
        <f t="shared" si="11"/>
        <v>80.78227292119054</v>
      </c>
    </row>
    <row r="102" spans="2:16">
      <c r="B102" s="12" t="s">
        <v>99</v>
      </c>
      <c r="C102" s="13"/>
      <c r="D102" s="13">
        <v>2</v>
      </c>
      <c r="E102" s="14"/>
      <c r="H102" s="80" t="s">
        <v>201</v>
      </c>
      <c r="I102" s="18"/>
      <c r="J102" s="87">
        <f t="shared" ref="J102:K102" si="12">J96*3.6</f>
        <v>6187.3158561219871</v>
      </c>
      <c r="K102" s="83">
        <f t="shared" si="12"/>
        <v>119.94615160155283</v>
      </c>
      <c r="L102" s="18"/>
      <c r="M102" s="18"/>
      <c r="N102" s="18"/>
      <c r="O102" s="87">
        <f t="shared" ref="O102:P102" si="13">O96*3.6</f>
        <v>52.675119565113029</v>
      </c>
      <c r="P102" s="83">
        <f t="shared" si="13"/>
        <v>26.927424307063514</v>
      </c>
    </row>
    <row r="103" spans="2:16">
      <c r="B103" s="1" t="s">
        <v>61</v>
      </c>
      <c r="C103" s="2" t="s">
        <v>117</v>
      </c>
      <c r="D103" s="2">
        <f>2*D46</f>
        <v>4</v>
      </c>
      <c r="E103" s="15" t="s">
        <v>20</v>
      </c>
      <c r="J103" s="1"/>
      <c r="K103" s="15"/>
      <c r="O103" s="1"/>
      <c r="P103" s="15"/>
    </row>
    <row r="104" spans="2:16">
      <c r="B104" s="17" t="s">
        <v>74</v>
      </c>
      <c r="C104" s="18" t="s">
        <v>118</v>
      </c>
      <c r="D104" s="34">
        <f>IF($D$52=1,D49+2/3*$D$50,IF($D$52=2,D49+0.466*$D$50,IF($D$52=3,D49+1/2*$D$50,"FEHLER")))</f>
        <v>1346.9566</v>
      </c>
      <c r="E104" s="19" t="s">
        <v>19</v>
      </c>
      <c r="H104" s="12" t="s">
        <v>205</v>
      </c>
      <c r="I104" s="13"/>
      <c r="J104" s="12"/>
      <c r="K104" s="14"/>
      <c r="L104" s="13"/>
      <c r="M104" s="13"/>
      <c r="N104" s="13"/>
      <c r="O104" s="12"/>
      <c r="P104" s="14"/>
    </row>
    <row r="105" spans="2:16">
      <c r="H105" s="1" t="s">
        <v>197</v>
      </c>
      <c r="I105" s="2"/>
      <c r="J105" s="1">
        <f>IF(J93&lt;0.3,0,IF(J93&lt;1.5,1,IF(J93&lt;3.3,2,IF(J93&lt;5.4,3,IF(J93&lt;7.9,4,IF(J93&lt;10.7,5,IF(J93&lt;13.8,6,IF(J93&lt;17.1,7,IF(J93&lt;20.7,8,IF(J93&lt;24.4,9,IF(J93&lt;28.4,10,IF(J93&lt;32.6,11,12))))))))))))</f>
        <v>12</v>
      </c>
      <c r="K105" s="15">
        <f t="shared" ref="K105:P105" si="14">IF(K93&lt;0.3,0,IF(K93&lt;1.5,1,IF(K93&lt;3.3,2,IF(K93&lt;5.4,3,IF(K93&lt;7.9,4,IF(K93&lt;10.7,5,IF(K93&lt;13.8,6,IF(K93&lt;17.1,7,IF(K93&lt;20.7,8,IF(K93&lt;24.4,9,IF(K93&lt;28.4,10,IF(K93&lt;32.6,11,12))))))))))))</f>
        <v>12</v>
      </c>
      <c r="L105" s="2">
        <f t="shared" si="14"/>
        <v>0</v>
      </c>
      <c r="M105" s="2">
        <f t="shared" si="14"/>
        <v>0</v>
      </c>
      <c r="N105" s="2">
        <f t="shared" si="14"/>
        <v>0</v>
      </c>
      <c r="O105" s="1">
        <f t="shared" si="14"/>
        <v>4</v>
      </c>
      <c r="P105" s="15">
        <f t="shared" si="14"/>
        <v>3</v>
      </c>
    </row>
    <row r="106" spans="2:16">
      <c r="B106" s="12" t="s">
        <v>99</v>
      </c>
      <c r="C106" s="13"/>
      <c r="D106" s="13">
        <v>4</v>
      </c>
      <c r="E106" s="14"/>
      <c r="H106" s="1" t="s">
        <v>187</v>
      </c>
      <c r="I106" s="2"/>
      <c r="J106" s="1">
        <f t="shared" ref="J106:P106" si="15">IF(J94&lt;0.3,0,IF(J94&lt;1.5,1,IF(J94&lt;3.3,2,IF(J94&lt;5.4,3,IF(J94&lt;7.9,4,IF(J94&lt;10.7,5,IF(J94&lt;13.8,6,IF(J94&lt;17.1,7,IF(J94&lt;20.7,8,IF(J94&lt;24.4,9,IF(J94&lt;28.4,10,IF(J94&lt;32.6,11,12))))))))))))</f>
        <v>12</v>
      </c>
      <c r="K106" s="15">
        <f t="shared" si="15"/>
        <v>9</v>
      </c>
      <c r="L106" s="2">
        <f t="shared" si="15"/>
        <v>0</v>
      </c>
      <c r="M106" s="2">
        <f t="shared" si="15"/>
        <v>0</v>
      </c>
      <c r="N106" s="2">
        <f t="shared" si="15"/>
        <v>0</v>
      </c>
      <c r="O106" s="1">
        <f t="shared" si="15"/>
        <v>3</v>
      </c>
      <c r="P106" s="15">
        <f t="shared" si="15"/>
        <v>2</v>
      </c>
    </row>
    <row r="107" spans="2:16">
      <c r="B107" s="1" t="s">
        <v>61</v>
      </c>
      <c r="C107" s="2" t="s">
        <v>117</v>
      </c>
      <c r="D107" s="5">
        <f>D114</f>
        <v>2.1284977479054357</v>
      </c>
      <c r="E107" s="15" t="s">
        <v>20</v>
      </c>
      <c r="H107" s="1" t="s">
        <v>200</v>
      </c>
      <c r="I107" s="2"/>
      <c r="J107" s="1">
        <f t="shared" ref="J107:P107" si="16">IF(J95&lt;0.3,0,IF(J95&lt;1.5,1,IF(J95&lt;3.3,2,IF(J95&lt;5.4,3,IF(J95&lt;7.9,4,IF(J95&lt;10.7,5,IF(J95&lt;13.8,6,IF(J95&lt;17.1,7,IF(J95&lt;20.7,8,IF(J95&lt;24.4,9,IF(J95&lt;28.4,10,IF(J95&lt;32.6,11,12))))))))))))</f>
        <v>12</v>
      </c>
      <c r="K107" s="15">
        <f t="shared" si="16"/>
        <v>12</v>
      </c>
      <c r="L107" s="2">
        <f t="shared" si="16"/>
        <v>0</v>
      </c>
      <c r="M107" s="2">
        <f t="shared" si="16"/>
        <v>0</v>
      </c>
      <c r="N107" s="2">
        <f t="shared" si="16"/>
        <v>0</v>
      </c>
      <c r="O107" s="1">
        <f t="shared" si="16"/>
        <v>12</v>
      </c>
      <c r="P107" s="15">
        <f t="shared" si="16"/>
        <v>9</v>
      </c>
    </row>
    <row r="108" spans="2:16">
      <c r="B108" s="17" t="s">
        <v>74</v>
      </c>
      <c r="C108" s="18" t="s">
        <v>118</v>
      </c>
      <c r="D108" s="34">
        <f>D115</f>
        <v>1361.9730027434241</v>
      </c>
      <c r="E108" s="19" t="s">
        <v>19</v>
      </c>
      <c r="F108" s="9" t="s">
        <v>119</v>
      </c>
      <c r="H108" s="80" t="s">
        <v>201</v>
      </c>
      <c r="I108" s="18"/>
      <c r="J108" s="17">
        <f t="shared" ref="J108:P108" si="17">IF(J96&lt;0.3,0,IF(J96&lt;1.5,1,IF(J96&lt;3.3,2,IF(J96&lt;5.4,3,IF(J96&lt;7.9,4,IF(J96&lt;10.7,5,IF(J96&lt;13.8,6,IF(J96&lt;17.1,7,IF(J96&lt;20.7,8,IF(J96&lt;24.4,9,IF(J96&lt;28.4,10,IF(J96&lt;32.6,11,12))))))))))))</f>
        <v>12</v>
      </c>
      <c r="K108" s="19">
        <f t="shared" si="17"/>
        <v>12</v>
      </c>
      <c r="L108" s="18">
        <f t="shared" si="17"/>
        <v>0</v>
      </c>
      <c r="M108" s="18">
        <f t="shared" si="17"/>
        <v>0</v>
      </c>
      <c r="N108" s="18">
        <f t="shared" si="17"/>
        <v>0</v>
      </c>
      <c r="O108" s="17">
        <f t="shared" si="17"/>
        <v>7</v>
      </c>
      <c r="P108" s="19">
        <f t="shared" si="17"/>
        <v>4</v>
      </c>
    </row>
    <row r="109" spans="2:16">
      <c r="B109" s="64" t="s">
        <v>129</v>
      </c>
      <c r="C109" s="9" t="s">
        <v>130</v>
      </c>
      <c r="D109" s="5">
        <f>D8</f>
        <v>207</v>
      </c>
      <c r="E109" s="15"/>
      <c r="F109" s="9"/>
    </row>
    <row r="110" spans="2:16">
      <c r="B110" s="64" t="s">
        <v>120</v>
      </c>
      <c r="C110" s="9" t="s">
        <v>121</v>
      </c>
      <c r="D110" s="5">
        <f>PI()*D109^2/4</f>
        <v>33653.525903417263</v>
      </c>
      <c r="E110" s="65" t="s">
        <v>122</v>
      </c>
    </row>
    <row r="111" spans="2:16">
      <c r="B111" s="64" t="s">
        <v>123</v>
      </c>
      <c r="C111" s="9" t="s">
        <v>124</v>
      </c>
      <c r="D111" s="5">
        <f>PI()*D44^2/4</f>
        <v>17907.863523625219</v>
      </c>
      <c r="E111" s="65" t="s">
        <v>122</v>
      </c>
    </row>
    <row r="112" spans="2:16">
      <c r="B112" s="64" t="s">
        <v>125</v>
      </c>
      <c r="C112" s="9" t="s">
        <v>126</v>
      </c>
      <c r="D112" s="5">
        <f>D110+2*D111</f>
        <v>69469.252950667695</v>
      </c>
      <c r="E112" s="65" t="s">
        <v>122</v>
      </c>
    </row>
    <row r="113" spans="2:5">
      <c r="B113" s="64" t="s">
        <v>127</v>
      </c>
      <c r="C113" s="9" t="s">
        <v>128</v>
      </c>
      <c r="D113" s="5">
        <f>SQRT(D112/PI()*4)</f>
        <v>297.40712836110703</v>
      </c>
      <c r="E113" s="65" t="s">
        <v>19</v>
      </c>
    </row>
    <row r="114" spans="2:5">
      <c r="B114" s="1"/>
      <c r="C114" s="9" t="s">
        <v>131</v>
      </c>
      <c r="D114" s="5">
        <f>2*((D113/D109)^2-(D109/D109)^2)</f>
        <v>2.1284977479054357</v>
      </c>
      <c r="E114" s="65" t="s">
        <v>20</v>
      </c>
    </row>
    <row r="115" spans="2:5">
      <c r="B115" s="17"/>
      <c r="C115" s="66" t="s">
        <v>132</v>
      </c>
      <c r="D115" s="26">
        <f>D49+D50/3*(1+(1-D109/D113)/(1-(D109/D113)^2))</f>
        <v>1361.9730027434241</v>
      </c>
      <c r="E115" s="67" t="s">
        <v>19</v>
      </c>
    </row>
  </sheetData>
  <mergeCells count="16">
    <mergeCell ref="O91:P91"/>
    <mergeCell ref="J91:K91"/>
    <mergeCell ref="B2:E2"/>
    <mergeCell ref="H2:K2"/>
    <mergeCell ref="B56:E56"/>
    <mergeCell ref="O2:R2"/>
    <mergeCell ref="O19:P19"/>
    <mergeCell ref="O23:P23"/>
    <mergeCell ref="O26:P26"/>
    <mergeCell ref="O29:P29"/>
    <mergeCell ref="H56:K56"/>
    <mergeCell ref="V37:W37"/>
    <mergeCell ref="V40:W40"/>
    <mergeCell ref="V43:W43"/>
    <mergeCell ref="V46:W46"/>
    <mergeCell ref="V2:Y2"/>
  </mergeCells>
  <pageMargins left="0.7" right="0.7" top="0.78740157499999996" bottom="0.78740157499999996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ist Box 2">
              <controlPr defaultSize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4</xdr:col>
                    <xdr:colOff>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List Box 3">
              <controlPr defaultSize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266700</xdr:colOff>
                    <xdr:row>52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List Box 4">
              <controlPr defaultSize="0" autoLine="0" autoPict="0">
                <anchor moveWithCells="1">
                  <from>
                    <xdr:col>2</xdr:col>
                    <xdr:colOff>0</xdr:colOff>
                    <xdr:row>14</xdr:row>
                    <xdr:rowOff>50800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6" name="List Box 5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203200</xdr:rowOff>
                  </from>
                  <to>
                    <xdr:col>4</xdr:col>
                    <xdr:colOff>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 altText="JA">
                <anchor moveWithCells="1">
                  <from>
                    <xdr:col>3</xdr:col>
                    <xdr:colOff>50800</xdr:colOff>
                    <xdr:row>24</xdr:row>
                    <xdr:rowOff>190500</xdr:rowOff>
                  </from>
                  <to>
                    <xdr:col>4</xdr:col>
                    <xdr:colOff>190500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 altText="JA">
                <anchor moveWithCells="1">
                  <from>
                    <xdr:col>3</xdr:col>
                    <xdr:colOff>63500</xdr:colOff>
                    <xdr:row>26</xdr:row>
                    <xdr:rowOff>0</xdr:rowOff>
                  </from>
                  <to>
                    <xdr:col>4</xdr:col>
                    <xdr:colOff>190500</xdr:colOff>
                    <xdr:row>27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9" name="Spinner 9">
              <controlPr defaultSize="0" autoPict="0">
                <anchor moveWithCells="1" sizeWithCells="1">
                  <from>
                    <xdr:col>6</xdr:col>
                    <xdr:colOff>38100</xdr:colOff>
                    <xdr:row>19</xdr:row>
                    <xdr:rowOff>25400</xdr:rowOff>
                  </from>
                  <to>
                    <xdr:col>6</xdr:col>
                    <xdr:colOff>279400</xdr:colOff>
                    <xdr:row>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0" name="Spinner 10">
              <controlPr defaultSize="0" autoPict="0">
                <anchor moveWithCells="1" sizeWithCells="1">
                  <from>
                    <xdr:col>13</xdr:col>
                    <xdr:colOff>63500</xdr:colOff>
                    <xdr:row>51</xdr:row>
                    <xdr:rowOff>88900</xdr:rowOff>
                  </from>
                  <to>
                    <xdr:col>13</xdr:col>
                    <xdr:colOff>304800</xdr:colOff>
                    <xdr:row>53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1" name="Spinner 11">
              <controlPr defaultSize="0" autoPict="0">
                <anchor moveWithCells="1" sizeWithCells="1">
                  <from>
                    <xdr:col>10</xdr:col>
                    <xdr:colOff>342900</xdr:colOff>
                    <xdr:row>50</xdr:row>
                    <xdr:rowOff>101600</xdr:rowOff>
                  </from>
                  <to>
                    <xdr:col>11</xdr:col>
                    <xdr:colOff>0</xdr:colOff>
                    <xdr:row>52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4"/>
  <sheetViews>
    <sheetView topLeftCell="C1" workbookViewId="0">
      <selection activeCell="W33" sqref="W33"/>
    </sheetView>
  </sheetViews>
  <sheetFormatPr baseColWidth="10" defaultRowHeight="14" x14ac:dyDescent="0"/>
  <cols>
    <col min="2" max="2" width="5.83203125" bestFit="1" customWidth="1"/>
    <col min="3" max="3" width="9.5" bestFit="1" customWidth="1"/>
    <col min="4" max="4" width="3.33203125" customWidth="1"/>
    <col min="5" max="5" width="8.33203125" hidden="1" customWidth="1"/>
    <col min="6" max="6" width="8.6640625" hidden="1" customWidth="1"/>
    <col min="7" max="7" width="11.5" hidden="1" customWidth="1"/>
    <col min="8" max="8" width="13" hidden="1" customWidth="1"/>
    <col min="9" max="9" width="10.1640625" hidden="1" customWidth="1"/>
    <col min="10" max="10" width="10.33203125" hidden="1" customWidth="1"/>
    <col min="11" max="12" width="10.1640625" hidden="1" customWidth="1"/>
    <col min="13" max="13" width="4.6640625" customWidth="1"/>
    <col min="14" max="15" width="12.5" bestFit="1" customWidth="1"/>
    <col min="16" max="16" width="4.5" customWidth="1"/>
    <col min="17" max="22" width="9.83203125" customWidth="1"/>
  </cols>
  <sheetData>
    <row r="1" spans="2:22">
      <c r="N1" t="s">
        <v>216</v>
      </c>
      <c r="O1">
        <f>(Barrowman!J5*Barrowman!J10+Barrowman!J6*Barrowman!J11+Barrowman!J7*Barrowman!J12)/(Barrowman!J5+Barrowman!J6+Barrowman!J7)</f>
        <v>1654.3199104878749</v>
      </c>
    </row>
    <row r="2" spans="2:22">
      <c r="B2" s="12"/>
      <c r="C2" s="14"/>
      <c r="D2" s="13"/>
      <c r="E2" s="118" t="str">
        <f>Barrowman!K58</f>
        <v>cNa^2</v>
      </c>
      <c r="F2" s="119"/>
      <c r="G2" s="119"/>
      <c r="H2" s="120"/>
      <c r="I2" s="118" t="str">
        <f>Barrowman!N58</f>
        <v>X*c_Na^2</v>
      </c>
      <c r="J2" s="119"/>
      <c r="K2" s="119"/>
      <c r="L2" s="120"/>
      <c r="M2" s="13"/>
      <c r="N2" s="118" t="s">
        <v>215</v>
      </c>
      <c r="O2" s="120"/>
      <c r="P2" s="95"/>
      <c r="Q2" s="12" t="s">
        <v>186</v>
      </c>
      <c r="R2" s="13"/>
      <c r="S2" s="13" t="s">
        <v>187</v>
      </c>
      <c r="T2" s="13"/>
      <c r="U2" s="13" t="s">
        <v>191</v>
      </c>
      <c r="V2" s="14"/>
    </row>
    <row r="3" spans="2:22">
      <c r="B3" s="17" t="s">
        <v>211</v>
      </c>
      <c r="C3" s="19" t="s">
        <v>212</v>
      </c>
      <c r="D3" s="18"/>
      <c r="E3" s="17" t="str">
        <f>Barrowman!$H59</f>
        <v>Spitze</v>
      </c>
      <c r="F3" s="18" t="str">
        <f>Barrowman!$H60</f>
        <v>Körper</v>
      </c>
      <c r="G3" s="18" t="str">
        <f>Barrowman!$H61</f>
        <v>Spitze Komp</v>
      </c>
      <c r="H3" s="19" t="str">
        <f>Barrowman!$H62</f>
        <v>Körper Komp</v>
      </c>
      <c r="I3" s="17" t="str">
        <f>Barrowman!$H59</f>
        <v>Spitze</v>
      </c>
      <c r="J3" s="18" t="str">
        <f>Barrowman!$H60</f>
        <v>Körper</v>
      </c>
      <c r="K3" s="18" t="str">
        <f>Barrowman!$H61</f>
        <v>Spitze Komp</v>
      </c>
      <c r="L3" s="19" t="str">
        <f>Barrowman!$H62</f>
        <v>Körper Komp</v>
      </c>
      <c r="M3" s="18"/>
      <c r="N3" s="17" t="str">
        <f>Barrowman!$J$67</f>
        <v>Fall 1</v>
      </c>
      <c r="O3" s="19" t="str">
        <f>Barrowman!$K$67</f>
        <v>Fall 2</v>
      </c>
      <c r="P3" s="18"/>
      <c r="Q3" s="17" t="str">
        <f>Barrowman!$J$67</f>
        <v>Fall 1</v>
      </c>
      <c r="R3" s="18" t="str">
        <f>Barrowman!$K$67</f>
        <v>Fall 2</v>
      </c>
      <c r="S3" s="18" t="str">
        <f>Barrowman!$J$67</f>
        <v>Fall 1</v>
      </c>
      <c r="T3" s="18" t="str">
        <f>Barrowman!$K$67</f>
        <v>Fall 2</v>
      </c>
      <c r="U3" s="18" t="str">
        <f>Barrowman!$J$67</f>
        <v>Fall 1</v>
      </c>
      <c r="V3" s="19" t="str">
        <f>Barrowman!$K$67</f>
        <v>Fall 2</v>
      </c>
    </row>
    <row r="4" spans="2:22">
      <c r="B4" s="12">
        <v>0</v>
      </c>
      <c r="C4" s="99">
        <f>B4/180*PI()</f>
        <v>0</v>
      </c>
      <c r="D4" s="13"/>
      <c r="E4" s="100">
        <f>4*Barrowman!$J$52*Barrowman!$I$59*'Plot Wind'!$C4/(PI()*Barrowman!$D$8^2)</f>
        <v>0</v>
      </c>
      <c r="F4" s="101">
        <f>4*Barrowman!$J$52*Barrowman!$I$60*'Plot Wind'!$C4/(PI()*Barrowman!$D$8^2)</f>
        <v>0</v>
      </c>
      <c r="G4" s="101">
        <f>4*Barrowman!$J$52*Barrowman!$I$61*'Plot Wind'!$C4/(PI()*Barrowman!$D$8^2)</f>
        <v>0</v>
      </c>
      <c r="H4" s="102">
        <f>4*Barrowman!$J$52*Barrowman!$I$62*'Plot Wind'!$C4/(PI()*Barrowman!$D$8^2)</f>
        <v>0</v>
      </c>
      <c r="I4" s="12">
        <f>E4*Barrowman!$J$59</f>
        <v>0</v>
      </c>
      <c r="J4" s="13">
        <f>F4*Barrowman!$J$60</f>
        <v>0</v>
      </c>
      <c r="K4" s="13">
        <f>G4*Barrowman!$J$61</f>
        <v>0</v>
      </c>
      <c r="L4" s="14">
        <f>H4*Barrowman!$J$62</f>
        <v>0</v>
      </c>
      <c r="M4" s="13"/>
      <c r="N4" s="103">
        <f>(Barrowman!$J$5*Barrowman!$J$10+Barrowman!$J$6*Barrowman!$J$11+Barrowman!$J$7*Barrowman!$J$12+SUM(I4:L4)+K4+L4)/(Barrowman!$J$5+Barrowman!$J$6+Barrowman!$J$7+SUM(E4:H4)+G4+H4)</f>
        <v>1654.3199104878749</v>
      </c>
      <c r="O4" s="104">
        <f>(Barrowman!$J$5*Barrowman!$J$10+Barrowman!$J$6*Barrowman!$J$11+Barrowman!$J$7*Barrowman!$J$12+SUM(I4:K4))/(Barrowman!$J$5+Barrowman!$J$6+Barrowman!$J$7+SUM(E4:G4))</f>
        <v>1654.3199104878749</v>
      </c>
      <c r="P4" s="105"/>
      <c r="Q4" s="100">
        <f>(N4-Barrowman!$J$21)/Barrowman!$D$8</f>
        <v>1.1899512583955312</v>
      </c>
      <c r="R4" s="101">
        <f>(O4-Barrowman!$J$21)/Barrowman!$D$8</f>
        <v>1.1899512583955312</v>
      </c>
      <c r="S4" s="101">
        <f>(N4-Barrowman!$J$17)/Barrowman!$D$8</f>
        <v>0.6503377318254826</v>
      </c>
      <c r="T4" s="101">
        <f>(O4-Barrowman!$J$17)/Barrowman!$D$8</f>
        <v>0.6503377318254826</v>
      </c>
      <c r="U4" s="101">
        <f>(N4-Barrowman!$J$25)/Barrowman!$D$8</f>
        <v>1.00396092023128</v>
      </c>
      <c r="V4" s="102">
        <f>(O4-Barrowman!$J$25)/Barrowman!$D$8</f>
        <v>1.00396092023128</v>
      </c>
    </row>
    <row r="5" spans="2:22">
      <c r="B5" s="1">
        <v>1</v>
      </c>
      <c r="C5" s="57">
        <f t="shared" ref="C5:C34" si="0">B5/180*PI()</f>
        <v>1.7453292519943295E-2</v>
      </c>
      <c r="D5" s="2"/>
      <c r="E5" s="56">
        <f>4*Barrowman!$J$52*Barrowman!$I$59*'Plot Wind'!$C5/(PI()*Barrowman!$D$8^2)</f>
        <v>2.4995526927894082E-2</v>
      </c>
      <c r="F5" s="5">
        <f>4*Barrowman!$J$52*Barrowman!$I$60*'Plot Wind'!$C5/(PI()*Barrowman!$D$8^2)</f>
        <v>0.24267310789049923</v>
      </c>
      <c r="G5" s="5">
        <f>4*Barrowman!$J$52*Barrowman!$I$61*'Plot Wind'!$C5/(PI()*Barrowman!$D$8^2)</f>
        <v>1.350136871684632E-2</v>
      </c>
      <c r="H5" s="57">
        <f>4*Barrowman!$J$52*Barrowman!$I$62*'Plot Wind'!$C5/(PI()*Barrowman!$D$8^2)</f>
        <v>6.8913834369270899E-2</v>
      </c>
      <c r="I5" s="58">
        <f>E5*Barrowman!$J$59</f>
        <v>4.9600498747539818</v>
      </c>
      <c r="J5" s="4">
        <f>F5*Barrowman!$J$60</f>
        <v>326.39533011272147</v>
      </c>
      <c r="K5" s="4">
        <f>G5*Barrowman!$J$61</f>
        <v>18.690451016057242</v>
      </c>
      <c r="L5" s="59">
        <f>H5*Barrowman!$J$62</f>
        <v>129.04115485645977</v>
      </c>
      <c r="M5" s="2"/>
      <c r="N5" s="58">
        <f>(Barrowman!$J$5*Barrowman!$J$10+Barrowman!$J$6*Barrowman!$J$11+Barrowman!$J$7*Barrowman!$J$12+SUM(I5:L5)+K5+L5)/(Barrowman!$J$5+Barrowman!$J$6+Barrowman!$J$7+SUM(E5:H5)+G5+H5)</f>
        <v>1648.4611877618611</v>
      </c>
      <c r="O5" s="59">
        <f>(Barrowman!$J$5*Barrowman!$J$10+Barrowman!$J$6*Barrowman!$J$11+Barrowman!$J$7*Barrowman!$J$12+SUM(I5:K5))/(Barrowman!$J$5+Barrowman!$J$6+Barrowman!$J$7+SUM(E5:G5))</f>
        <v>1646.6383850684842</v>
      </c>
      <c r="P5" s="4"/>
      <c r="Q5" s="93">
        <f>(N5-Barrowman!$J$21)/Barrowman!$D$8</f>
        <v>1.1616482500573</v>
      </c>
      <c r="R5" s="11">
        <f>(O5-Barrowman!$J$21)/Barrowman!$D$8</f>
        <v>1.1528424399443684</v>
      </c>
      <c r="S5" s="11">
        <f>(N5-Barrowman!$J$17)/Barrowman!$D$8</f>
        <v>0.62203472348725142</v>
      </c>
      <c r="T5" s="11">
        <f>(O5-Barrowman!$J$17)/Barrowman!$D$8</f>
        <v>0.61322891337431973</v>
      </c>
      <c r="U5" s="11">
        <f>(N5-Barrowman!$J$25)/Barrowman!$D$8</f>
        <v>0.97565791189304873</v>
      </c>
      <c r="V5" s="94">
        <f>(O5-Barrowman!$J$25)/Barrowman!$D$8</f>
        <v>0.96685210178011716</v>
      </c>
    </row>
    <row r="6" spans="2:22">
      <c r="B6" s="1">
        <v>2</v>
      </c>
      <c r="C6" s="57">
        <f t="shared" si="0"/>
        <v>3.4906585039886591E-2</v>
      </c>
      <c r="D6" s="2"/>
      <c r="E6" s="56">
        <f>4*Barrowman!$J$52*Barrowman!$I$59*'Plot Wind'!$C6/(PI()*Barrowman!$D$8^2)</f>
        <v>4.9991053855788163E-2</v>
      </c>
      <c r="F6" s="5">
        <f>4*Barrowman!$J$52*Barrowman!$I$60*'Plot Wind'!$C6/(PI()*Barrowman!$D$8^2)</f>
        <v>0.48534621578099846</v>
      </c>
      <c r="G6" s="5">
        <f>4*Barrowman!$J$52*Barrowman!$I$61*'Plot Wind'!$C6/(PI()*Barrowman!$D$8^2)</f>
        <v>2.700273743369264E-2</v>
      </c>
      <c r="H6" s="57">
        <f>4*Barrowman!$J$52*Barrowman!$I$62*'Plot Wind'!$C6/(PI()*Barrowman!$D$8^2)</f>
        <v>0.1378276687385418</v>
      </c>
      <c r="I6" s="58">
        <f>E6*Barrowman!$J$59</f>
        <v>9.9200997495079637</v>
      </c>
      <c r="J6" s="4">
        <f>F6*Barrowman!$J$60</f>
        <v>652.79066022544293</v>
      </c>
      <c r="K6" s="4">
        <f>G6*Barrowman!$J$61</f>
        <v>37.380902032114484</v>
      </c>
      <c r="L6" s="59">
        <f>H6*Barrowman!$J$62</f>
        <v>258.08230971291954</v>
      </c>
      <c r="M6" s="2"/>
      <c r="N6" s="58">
        <f>(Barrowman!$J$5*Barrowman!$J$10+Barrowman!$J$6*Barrowman!$J$11+Barrowman!$J$7*Barrowman!$J$12+SUM(I6:L6)+K6+L6)/(Barrowman!$J$5+Barrowman!$J$6+Barrowman!$J$7+SUM(E6:H6)+G6+H6)</f>
        <v>1642.9279961509046</v>
      </c>
      <c r="O6" s="59">
        <f>(Barrowman!$J$5*Barrowman!$J$10+Barrowman!$J$6*Barrowman!$J$11+Barrowman!$J$7*Barrowman!$J$12+SUM(I6:K6))/(Barrowman!$J$5+Barrowman!$J$6+Barrowman!$J$7+SUM(E6:G6))</f>
        <v>1639.2398341487383</v>
      </c>
      <c r="P6" s="4"/>
      <c r="Q6" s="93">
        <f>(N6-Barrowman!$J$21)/Barrowman!$D$8</f>
        <v>1.1349178558014716</v>
      </c>
      <c r="R6" s="11">
        <f>(O6-Barrowman!$J$21)/Barrowman!$D$8</f>
        <v>1.1171006480615375</v>
      </c>
      <c r="S6" s="11">
        <f>(N6-Barrowman!$J$17)/Barrowman!$D$8</f>
        <v>0.59530432923142307</v>
      </c>
      <c r="T6" s="11">
        <f>(O6-Barrowman!$J$17)/Barrowman!$D$8</f>
        <v>0.57748712149148906</v>
      </c>
      <c r="U6" s="11">
        <f>(N6-Barrowman!$J$25)/Barrowman!$D$8</f>
        <v>0.94892751763722039</v>
      </c>
      <c r="V6" s="94">
        <f>(O6-Barrowman!$J$25)/Barrowman!$D$8</f>
        <v>0.93111030989728638</v>
      </c>
    </row>
    <row r="7" spans="2:22">
      <c r="B7" s="1">
        <v>3</v>
      </c>
      <c r="C7" s="57">
        <f t="shared" si="0"/>
        <v>5.2359877559829883E-2</v>
      </c>
      <c r="D7" s="2"/>
      <c r="E7" s="56">
        <f>4*Barrowman!$J$52*Barrowman!$I$59*'Plot Wind'!$C7/(PI()*Barrowman!$D$8^2)</f>
        <v>7.4986580783682241E-2</v>
      </c>
      <c r="F7" s="5">
        <f>4*Barrowman!$J$52*Barrowman!$I$60*'Plot Wind'!$C7/(PI()*Barrowman!$D$8^2)</f>
        <v>0.72801932367149758</v>
      </c>
      <c r="G7" s="5">
        <f>4*Barrowman!$J$52*Barrowman!$I$61*'Plot Wind'!$C7/(PI()*Barrowman!$D$8^2)</f>
        <v>4.0504106150538954E-2</v>
      </c>
      <c r="H7" s="57">
        <f>4*Barrowman!$J$52*Barrowman!$I$62*'Plot Wind'!$C7/(PI()*Barrowman!$D$8^2)</f>
        <v>0.2067415031078127</v>
      </c>
      <c r="I7" s="58">
        <f>E7*Barrowman!$J$59</f>
        <v>14.880149624261945</v>
      </c>
      <c r="J7" s="4">
        <f>F7*Barrowman!$J$60</f>
        <v>979.18599033816429</v>
      </c>
      <c r="K7" s="4">
        <f>G7*Barrowman!$J$61</f>
        <v>56.071353048171723</v>
      </c>
      <c r="L7" s="59">
        <f>H7*Barrowman!$J$62</f>
        <v>387.12346456937928</v>
      </c>
      <c r="M7" s="2"/>
      <c r="N7" s="58">
        <f>(Barrowman!$J$5*Barrowman!$J$10+Barrowman!$J$6*Barrowman!$J$11+Barrowman!$J$7*Barrowman!$J$12+SUM(I7:L7)+K7+L7)/(Barrowman!$J$5+Barrowman!$J$6+Barrowman!$J$7+SUM(E7:H7)+G7+H7)</f>
        <v>1637.6939375698773</v>
      </c>
      <c r="O7" s="59">
        <f>(Barrowman!$J$5*Barrowman!$J$10+Barrowman!$J$6*Barrowman!$J$11+Barrowman!$J$7*Barrowman!$J$12+SUM(I7:K7))/(Barrowman!$J$5+Barrowman!$J$6+Barrowman!$J$7+SUM(E7:G7))</f>
        <v>1632.1089040719005</v>
      </c>
      <c r="P7" s="4"/>
      <c r="Q7" s="93">
        <f>(N7-Barrowman!$J$21)/Barrowman!$D$8</f>
        <v>1.1096325486467504</v>
      </c>
      <c r="R7" s="11">
        <f>(O7-Barrowman!$J$21)/Barrowman!$D$8</f>
        <v>1.0826517104922728</v>
      </c>
      <c r="S7" s="11">
        <f>(N7-Barrowman!$J$17)/Barrowman!$D$8</f>
        <v>0.57001902207670185</v>
      </c>
      <c r="T7" s="11">
        <f>(O7-Barrowman!$J$17)/Barrowman!$D$8</f>
        <v>0.54303818392222436</v>
      </c>
      <c r="U7" s="11">
        <f>(N7-Barrowman!$J$25)/Barrowman!$D$8</f>
        <v>0.92364221048249917</v>
      </c>
      <c r="V7" s="94">
        <f>(O7-Barrowman!$J$25)/Barrowman!$D$8</f>
        <v>0.89666137232802168</v>
      </c>
    </row>
    <row r="8" spans="2:22">
      <c r="B8" s="17">
        <v>4</v>
      </c>
      <c r="C8" s="81">
        <f t="shared" si="0"/>
        <v>6.9813170079773182E-2</v>
      </c>
      <c r="D8" s="18"/>
      <c r="E8" s="80">
        <f>4*Barrowman!$J$52*Barrowman!$I$59*'Plot Wind'!$C8/(PI()*Barrowman!$D$8^2)</f>
        <v>9.9982107711576326E-2</v>
      </c>
      <c r="F8" s="34">
        <f>4*Barrowman!$J$52*Barrowman!$I$60*'Plot Wind'!$C8/(PI()*Barrowman!$D$8^2)</f>
        <v>0.97069243156199692</v>
      </c>
      <c r="G8" s="34">
        <f>4*Barrowman!$J$52*Barrowman!$I$61*'Plot Wind'!$C8/(PI()*Barrowman!$D$8^2)</f>
        <v>5.4005474867385279E-2</v>
      </c>
      <c r="H8" s="81">
        <f>4*Barrowman!$J$52*Barrowman!$I$62*'Plot Wind'!$C8/(PI()*Barrowman!$D$8^2)</f>
        <v>0.2756553374770836</v>
      </c>
      <c r="I8" s="90">
        <f>E8*Barrowman!$J$59</f>
        <v>19.840199499015927</v>
      </c>
      <c r="J8" s="26">
        <f>F8*Barrowman!$J$60</f>
        <v>1305.5813204508859</v>
      </c>
      <c r="K8" s="26">
        <f>G8*Barrowman!$J$61</f>
        <v>74.761804064228969</v>
      </c>
      <c r="L8" s="91">
        <f>H8*Barrowman!$J$62</f>
        <v>516.16461942583908</v>
      </c>
      <c r="M8" s="18"/>
      <c r="N8" s="90">
        <f>(Barrowman!$J$5*Barrowman!$J$10+Barrowman!$J$6*Barrowman!$J$11+Barrowman!$J$7*Barrowman!$J$12+SUM(I8:L8)+K8+L8)/(Barrowman!$J$5+Barrowman!$J$6+Barrowman!$J$7+SUM(E8:H8)+G8+H8)</f>
        <v>1632.7353930556953</v>
      </c>
      <c r="O8" s="91">
        <f>(Barrowman!$J$5*Barrowman!$J$10+Barrowman!$J$6*Barrowman!$J$11+Barrowman!$J$7*Barrowman!$J$12+SUM(I8:K8))/(Barrowman!$J$5+Barrowman!$J$6+Barrowman!$J$7+SUM(E8:G8))</f>
        <v>1625.2313321959552</v>
      </c>
      <c r="P8" s="26"/>
      <c r="Q8" s="96">
        <f>(N8-Barrowman!$J$21)/Barrowman!$D$8</f>
        <v>1.0856782273221997</v>
      </c>
      <c r="R8" s="97">
        <f>(O8-Barrowman!$J$21)/Barrowman!$D$8</f>
        <v>1.0494267255843248</v>
      </c>
      <c r="S8" s="97">
        <f>(N8-Barrowman!$J$17)/Barrowman!$D$8</f>
        <v>0.54606470075215119</v>
      </c>
      <c r="T8" s="97">
        <f>(O8-Barrowman!$J$17)/Barrowman!$D$8</f>
        <v>0.50981319901427635</v>
      </c>
      <c r="U8" s="97">
        <f>(N8-Barrowman!$J$25)/Barrowman!$D$8</f>
        <v>0.89968788915794851</v>
      </c>
      <c r="V8" s="98">
        <f>(O8-Barrowman!$J$25)/Barrowman!$D$8</f>
        <v>0.86343638742007367</v>
      </c>
    </row>
    <row r="9" spans="2:22">
      <c r="B9" s="12">
        <v>5</v>
      </c>
      <c r="C9" s="99">
        <f t="shared" si="0"/>
        <v>8.7266462599716474E-2</v>
      </c>
      <c r="D9" s="13"/>
      <c r="E9" s="106">
        <f>4*Barrowman!$J$52*Barrowman!$I$59*'Plot Wind'!$C9/(PI()*Barrowman!$D$8^2)</f>
        <v>0.12497763463947041</v>
      </c>
      <c r="F9" s="107">
        <f>4*Barrowman!$J$52*Barrowman!$I$60*'Plot Wind'!$C9/(PI()*Barrowman!$D$8^2)</f>
        <v>1.213365539452496</v>
      </c>
      <c r="G9" s="107">
        <f>4*Barrowman!$J$52*Barrowman!$I$61*'Plot Wind'!$C9/(PI()*Barrowman!$D$8^2)</f>
        <v>6.7506843584231604E-2</v>
      </c>
      <c r="H9" s="99">
        <f>4*Barrowman!$J$52*Barrowman!$I$62*'Plot Wind'!$C9/(PI()*Barrowman!$D$8^2)</f>
        <v>0.34456917184635449</v>
      </c>
      <c r="I9" s="103">
        <f>E9*Barrowman!$J$59</f>
        <v>24.800249373769908</v>
      </c>
      <c r="J9" s="105">
        <f>F9*Barrowman!$J$60</f>
        <v>1631.9766505636071</v>
      </c>
      <c r="K9" s="105">
        <f>G9*Barrowman!$J$61</f>
        <v>93.452255080286221</v>
      </c>
      <c r="L9" s="104">
        <f>H9*Barrowman!$J$62</f>
        <v>645.20577428229876</v>
      </c>
      <c r="M9" s="13"/>
      <c r="N9" s="103">
        <f>(Barrowman!$J$5*Barrowman!$J$10+Barrowman!$J$6*Barrowman!$J$11+Barrowman!$J$7*Barrowman!$J$12+SUM(I9:L9)+K9+L9)/(Barrowman!$J$5+Barrowman!$J$6+Barrowman!$J$7+SUM(E9:H9)+G9+H9)</f>
        <v>1628.0311664226144</v>
      </c>
      <c r="O9" s="104">
        <f>(Barrowman!$J$5*Barrowman!$J$10+Barrowman!$J$6*Barrowman!$J$11+Barrowman!$J$7*Barrowman!$J$12+SUM(I9:K9))/(Barrowman!$J$5+Barrowman!$J$6+Barrowman!$J$7+SUM(E9:G9))</f>
        <v>1618.5938516771546</v>
      </c>
      <c r="P9" s="105"/>
      <c r="Q9" s="100">
        <f>(N9-Barrowman!$J$21)/Barrowman!$D$8</f>
        <v>1.0629524947952389</v>
      </c>
      <c r="R9" s="101">
        <f>(O9-Barrowman!$J$21)/Barrowman!$D$8</f>
        <v>1.0173616023050946</v>
      </c>
      <c r="S9" s="101">
        <f>(N9-Barrowman!$J$17)/Barrowman!$D$8</f>
        <v>0.52333896822519033</v>
      </c>
      <c r="T9" s="101">
        <f>(O9-Barrowman!$J$17)/Barrowman!$D$8</f>
        <v>0.47774807573504613</v>
      </c>
      <c r="U9" s="101">
        <f>(N9-Barrowman!$J$25)/Barrowman!$D$8</f>
        <v>0.87696215663098764</v>
      </c>
      <c r="V9" s="102">
        <f>(O9-Barrowman!$J$25)/Barrowman!$D$8</f>
        <v>0.83137126414084339</v>
      </c>
    </row>
    <row r="10" spans="2:22">
      <c r="B10" s="1">
        <v>6</v>
      </c>
      <c r="C10" s="57">
        <f t="shared" si="0"/>
        <v>0.10471975511965977</v>
      </c>
      <c r="D10" s="2"/>
      <c r="E10" s="56">
        <f>4*Barrowman!$J$52*Barrowman!$I$59*'Plot Wind'!$C10/(PI()*Barrowman!$D$8^2)</f>
        <v>0.14997316156736448</v>
      </c>
      <c r="F10" s="5">
        <f>4*Barrowman!$J$52*Barrowman!$I$60*'Plot Wind'!$C10/(PI()*Barrowman!$D$8^2)</f>
        <v>1.4560386473429952</v>
      </c>
      <c r="G10" s="5">
        <f>4*Barrowman!$J$52*Barrowman!$I$61*'Plot Wind'!$C10/(PI()*Barrowman!$D$8^2)</f>
        <v>8.1008212301077909E-2</v>
      </c>
      <c r="H10" s="57">
        <f>4*Barrowman!$J$52*Barrowman!$I$62*'Plot Wind'!$C10/(PI()*Barrowman!$D$8^2)</f>
        <v>0.41348300621562539</v>
      </c>
      <c r="I10" s="58">
        <f>E10*Barrowman!$J$59</f>
        <v>29.760299248523889</v>
      </c>
      <c r="J10" s="4">
        <f>F10*Barrowman!$J$60</f>
        <v>1958.3719806763286</v>
      </c>
      <c r="K10" s="4">
        <f>G10*Barrowman!$J$61</f>
        <v>112.14270609634345</v>
      </c>
      <c r="L10" s="59">
        <f>H10*Barrowman!$J$62</f>
        <v>774.24692913875856</v>
      </c>
      <c r="M10" s="2"/>
      <c r="N10" s="58">
        <f>(Barrowman!$J$5*Barrowman!$J$10+Barrowman!$J$6*Barrowman!$J$11+Barrowman!$J$7*Barrowman!$J$12+SUM(I10:L10)+K10+L10)/(Barrowman!$J$5+Barrowman!$J$6+Barrowman!$J$7+SUM(E10:H10)+G10+H10)</f>
        <v>1623.5621813761093</v>
      </c>
      <c r="O10" s="59">
        <f>(Barrowman!$J$5*Barrowman!$J$10+Barrowman!$J$6*Barrowman!$J$11+Barrowman!$J$7*Barrowman!$J$12+SUM(I10:K10))/(Barrowman!$J$5+Barrowman!$J$6+Barrowman!$J$7+SUM(E10:G10))</f>
        <v>1612.184106054319</v>
      </c>
      <c r="P10" s="4"/>
      <c r="Q10" s="93">
        <f>(N10-Barrowman!$J$21)/Barrowman!$D$8</f>
        <v>1.0413631950536679</v>
      </c>
      <c r="R10" s="11">
        <f>(O10-Barrowman!$J$21)/Barrowman!$D$8</f>
        <v>0.98639664760540602</v>
      </c>
      <c r="S10" s="11">
        <f>(N10-Barrowman!$J$17)/Barrowman!$D$8</f>
        <v>0.50174966848361946</v>
      </c>
      <c r="T10" s="11">
        <f>(O10-Barrowman!$J$17)/Barrowman!$D$8</f>
        <v>0.4467831210353575</v>
      </c>
      <c r="U10" s="11">
        <f>(N10-Barrowman!$J$25)/Barrowman!$D$8</f>
        <v>0.85537285688941678</v>
      </c>
      <c r="V10" s="94">
        <f>(O10-Barrowman!$J$25)/Barrowman!$D$8</f>
        <v>0.80040630944115476</v>
      </c>
    </row>
    <row r="11" spans="2:22">
      <c r="B11" s="1">
        <v>7</v>
      </c>
      <c r="C11" s="57">
        <f t="shared" si="0"/>
        <v>0.12217304763960307</v>
      </c>
      <c r="D11" s="2"/>
      <c r="E11" s="56">
        <f>4*Barrowman!$J$52*Barrowman!$I$59*'Plot Wind'!$C11/(PI()*Barrowman!$D$8^2)</f>
        <v>0.17496868849525857</v>
      </c>
      <c r="F11" s="5">
        <f>4*Barrowman!$J$52*Barrowman!$I$60*'Plot Wind'!$C11/(PI()*Barrowman!$D$8^2)</f>
        <v>1.6987117552334945</v>
      </c>
      <c r="G11" s="5">
        <f>4*Barrowman!$J$52*Barrowman!$I$61*'Plot Wind'!$C11/(PI()*Barrowman!$D$8^2)</f>
        <v>9.4509581017924241E-2</v>
      </c>
      <c r="H11" s="57">
        <f>4*Barrowman!$J$52*Barrowman!$I$62*'Plot Wind'!$C11/(PI()*Barrowman!$D$8^2)</f>
        <v>0.48239684058489635</v>
      </c>
      <c r="I11" s="58">
        <f>E11*Barrowman!$J$59</f>
        <v>34.72034912327787</v>
      </c>
      <c r="J11" s="4">
        <f>F11*Barrowman!$J$60</f>
        <v>2284.76731078905</v>
      </c>
      <c r="K11" s="4">
        <f>G11*Barrowman!$J$61</f>
        <v>130.8331571124007</v>
      </c>
      <c r="L11" s="59">
        <f>H11*Barrowman!$J$62</f>
        <v>903.28808399521836</v>
      </c>
      <c r="M11" s="2"/>
      <c r="N11" s="58">
        <f>(Barrowman!$J$5*Barrowman!$J$10+Barrowman!$J$6*Barrowman!$J$11+Barrowman!$J$7*Barrowman!$J$12+SUM(I11:L11)+K11+L11)/(Barrowman!$J$5+Barrowman!$J$6+Barrowman!$J$7+SUM(E11:H11)+G11+H11)</f>
        <v>1619.3112229571118</v>
      </c>
      <c r="O11" s="59">
        <f>(Barrowman!$J$5*Barrowman!$J$10+Barrowman!$J$6*Barrowman!$J$11+Barrowman!$J$7*Barrowman!$J$12+SUM(I11:K11))/(Barrowman!$J$5+Barrowman!$J$6+Barrowman!$J$7+SUM(E11:G11))</f>
        <v>1605.9905724768053</v>
      </c>
      <c r="P11" s="4"/>
      <c r="Q11" s="93">
        <f>(N11-Barrowman!$J$21)/Barrowman!$D$8</f>
        <v>1.0208271640440183</v>
      </c>
      <c r="R11" s="11">
        <f>(O11-Barrowman!$J$21)/Barrowman!$D$8</f>
        <v>0.95647619554012198</v>
      </c>
      <c r="S11" s="11">
        <f>(N11-Barrowman!$J$17)/Barrowman!$D$8</f>
        <v>0.48121363747396978</v>
      </c>
      <c r="T11" s="11">
        <f>(O11-Barrowman!$J$17)/Barrowman!$D$8</f>
        <v>0.41686266897007346</v>
      </c>
      <c r="U11" s="11">
        <f>(N11-Barrowman!$J$25)/Barrowman!$D$8</f>
        <v>0.83483682587976715</v>
      </c>
      <c r="V11" s="94">
        <f>(O11-Barrowman!$J$25)/Barrowman!$D$8</f>
        <v>0.77048585737587083</v>
      </c>
    </row>
    <row r="12" spans="2:22">
      <c r="B12" s="1">
        <v>8</v>
      </c>
      <c r="C12" s="57">
        <f t="shared" si="0"/>
        <v>0.13962634015954636</v>
      </c>
      <c r="D12" s="2"/>
      <c r="E12" s="56">
        <f>4*Barrowman!$J$52*Barrowman!$I$59*'Plot Wind'!$C12/(PI()*Barrowman!$D$8^2)</f>
        <v>0.19996421542315265</v>
      </c>
      <c r="F12" s="5">
        <f>4*Barrowman!$J$52*Barrowman!$I$60*'Plot Wind'!$C12/(PI()*Barrowman!$D$8^2)</f>
        <v>1.9413848631239938</v>
      </c>
      <c r="G12" s="5">
        <f>4*Barrowman!$J$52*Barrowman!$I$61*'Plot Wind'!$C12/(PI()*Barrowman!$D$8^2)</f>
        <v>0.10801094973477056</v>
      </c>
      <c r="H12" s="57">
        <f>4*Barrowman!$J$52*Barrowman!$I$62*'Plot Wind'!$C12/(PI()*Barrowman!$D$8^2)</f>
        <v>0.55131067495416719</v>
      </c>
      <c r="I12" s="58">
        <f>E12*Barrowman!$J$59</f>
        <v>39.680398998031855</v>
      </c>
      <c r="J12" s="4">
        <f>F12*Barrowman!$J$60</f>
        <v>2611.1626409017717</v>
      </c>
      <c r="K12" s="4">
        <f>G12*Barrowman!$J$61</f>
        <v>149.52360812845794</v>
      </c>
      <c r="L12" s="59">
        <f>H12*Barrowman!$J$62</f>
        <v>1032.3292388516782</v>
      </c>
      <c r="M12" s="2"/>
      <c r="N12" s="58">
        <f>(Barrowman!$J$5*Barrowman!$J$10+Barrowman!$J$6*Barrowman!$J$11+Barrowman!$J$7*Barrowman!$J$12+SUM(I12:L12)+K12+L12)/(Barrowman!$J$5+Barrowman!$J$6+Barrowman!$J$7+SUM(E12:H12)+G12+H12)</f>
        <v>1615.2627159273093</v>
      </c>
      <c r="O12" s="59">
        <f>(Barrowman!$J$5*Barrowman!$J$10+Barrowman!$J$6*Barrowman!$J$11+Barrowman!$J$7*Barrowman!$J$12+SUM(I12:K12))/(Barrowman!$J$5+Barrowman!$J$6+Barrowman!$J$7+SUM(E12:G12))</f>
        <v>1600.002492572587</v>
      </c>
      <c r="P12" s="4"/>
      <c r="Q12" s="93">
        <f>(N12-Barrowman!$J$21)/Barrowman!$D$8</f>
        <v>1.0012691590691269</v>
      </c>
      <c r="R12" s="11">
        <f>(O12-Barrowman!$J$21)/Barrowman!$D$8</f>
        <v>0.92754827329752176</v>
      </c>
      <c r="S12" s="11">
        <f>(N12-Barrowman!$J$17)/Barrowman!$D$8</f>
        <v>0.46165563249907837</v>
      </c>
      <c r="T12" s="11">
        <f>(O12-Barrowman!$J$17)/Barrowman!$D$8</f>
        <v>0.3879347467274733</v>
      </c>
      <c r="U12" s="11">
        <f>(N12-Barrowman!$J$25)/Barrowman!$D$8</f>
        <v>0.81527882090487569</v>
      </c>
      <c r="V12" s="94">
        <f>(O12-Barrowman!$J$25)/Barrowman!$D$8</f>
        <v>0.74155793513327062</v>
      </c>
    </row>
    <row r="13" spans="2:22">
      <c r="B13" s="1">
        <v>9</v>
      </c>
      <c r="C13" s="81">
        <f t="shared" si="0"/>
        <v>0.15707963267948966</v>
      </c>
      <c r="D13" s="18"/>
      <c r="E13" s="80">
        <f>4*Barrowman!$J$52*Barrowman!$I$59*'Plot Wind'!$C13/(PI()*Barrowman!$D$8^2)</f>
        <v>0.22495974235104671</v>
      </c>
      <c r="F13" s="34">
        <f>4*Barrowman!$J$52*Barrowman!$I$60*'Plot Wind'!$C13/(PI()*Barrowman!$D$8^2)</f>
        <v>2.1840579710144929</v>
      </c>
      <c r="G13" s="34">
        <f>4*Barrowman!$J$52*Barrowman!$I$61*'Plot Wind'!$C13/(PI()*Barrowman!$D$8^2)</f>
        <v>0.12151231845161686</v>
      </c>
      <c r="H13" s="81">
        <f>4*Barrowman!$J$52*Barrowman!$I$62*'Plot Wind'!$C13/(PI()*Barrowman!$D$8^2)</f>
        <v>0.62022450932343809</v>
      </c>
      <c r="I13" s="90">
        <f>E13*Barrowman!$J$59</f>
        <v>44.640448872785832</v>
      </c>
      <c r="J13" s="26">
        <f>F13*Barrowman!$J$60</f>
        <v>2937.557971014493</v>
      </c>
      <c r="K13" s="26">
        <f>G13*Barrowman!$J$61</f>
        <v>168.21405914451518</v>
      </c>
      <c r="L13" s="91">
        <f>H13*Barrowman!$J$62</f>
        <v>1161.3703937081377</v>
      </c>
      <c r="M13" s="18"/>
      <c r="N13" s="90">
        <f>(Barrowman!$J$5*Barrowman!$J$10+Barrowman!$J$6*Barrowman!$J$11+Barrowman!$J$7*Barrowman!$J$12+SUM(I13:L13)+K13+L13)/(Barrowman!$J$5+Barrowman!$J$6+Barrowman!$J$7+SUM(E13:H13)+G13+H13)</f>
        <v>1611.4025340811281</v>
      </c>
      <c r="O13" s="91">
        <f>(Barrowman!$J$5*Barrowman!$J$10+Barrowman!$J$6*Barrowman!$J$11+Barrowman!$J$7*Barrowman!$J$12+SUM(I13:K13))/(Barrowman!$J$5+Barrowman!$J$6+Barrowman!$J$7+SUM(E13:G13))</f>
        <v>1594.2098100838798</v>
      </c>
      <c r="P13" s="26"/>
      <c r="Q13" s="96">
        <f>(N13-Barrowman!$J$21)/Barrowman!$D$8</f>
        <v>0.98262093758999092</v>
      </c>
      <c r="R13" s="97">
        <f>(O13-Barrowman!$J$21)/Barrowman!$D$8</f>
        <v>0.89956429992212461</v>
      </c>
      <c r="S13" s="97">
        <f>(N13-Barrowman!$J$17)/Barrowman!$D$8</f>
        <v>0.4430074110199424</v>
      </c>
      <c r="T13" s="97">
        <f>(O13-Barrowman!$J$17)/Barrowman!$D$8</f>
        <v>0.35995077335207609</v>
      </c>
      <c r="U13" s="97">
        <f>(N13-Barrowman!$J$25)/Barrowman!$D$8</f>
        <v>0.79663059942573977</v>
      </c>
      <c r="V13" s="98">
        <f>(O13-Barrowman!$J$25)/Barrowman!$D$8</f>
        <v>0.71357396175787347</v>
      </c>
    </row>
    <row r="14" spans="2:22">
      <c r="B14" s="1">
        <v>10</v>
      </c>
      <c r="C14" s="99">
        <f t="shared" si="0"/>
        <v>0.17453292519943295</v>
      </c>
      <c r="D14" s="13"/>
      <c r="E14" s="106">
        <f>4*Barrowman!$J$52*Barrowman!$I$59*'Plot Wind'!$C14/(PI()*Barrowman!$D$8^2)</f>
        <v>0.24995526927894082</v>
      </c>
      <c r="F14" s="107">
        <f>4*Barrowman!$J$52*Barrowman!$I$60*'Plot Wind'!$C14/(PI()*Barrowman!$D$8^2)</f>
        <v>2.4267310789049921</v>
      </c>
      <c r="G14" s="107">
        <f>4*Barrowman!$J$52*Barrowman!$I$61*'Plot Wind'!$C14/(PI()*Barrowman!$D$8^2)</f>
        <v>0.13501368716846321</v>
      </c>
      <c r="H14" s="99">
        <f>4*Barrowman!$J$52*Barrowman!$I$62*'Plot Wind'!$C14/(PI()*Barrowman!$D$8^2)</f>
        <v>0.68913834369270899</v>
      </c>
      <c r="I14" s="103">
        <f>E14*Barrowman!$J$59</f>
        <v>49.600498747539817</v>
      </c>
      <c r="J14" s="105">
        <f>F14*Barrowman!$J$60</f>
        <v>3263.9533011272142</v>
      </c>
      <c r="K14" s="105">
        <f>G14*Barrowman!$J$61</f>
        <v>186.90451016057244</v>
      </c>
      <c r="L14" s="104">
        <f>H14*Barrowman!$J$62</f>
        <v>1290.4115485645975</v>
      </c>
      <c r="M14" s="13"/>
      <c r="N14" s="103">
        <f>(Barrowman!$J$5*Barrowman!$J$10+Barrowman!$J$6*Barrowman!$J$11+Barrowman!$J$7*Barrowman!$J$12+SUM(I14:L14)+K14+L14)/(Barrowman!$J$5+Barrowman!$J$6+Barrowman!$J$7+SUM(E14:H14)+G14+H14)</f>
        <v>1607.717835563669</v>
      </c>
      <c r="O14" s="104">
        <f>(Barrowman!$J$5*Barrowman!$J$10+Barrowman!$J$6*Barrowman!$J$11+Barrowman!$J$7*Barrowman!$J$12+SUM(I14:K14))/(Barrowman!$J$5+Barrowman!$J$6+Barrowman!$J$7+SUM(E14:G14))</f>
        <v>1588.6031145098034</v>
      </c>
      <c r="P14" s="105"/>
      <c r="Q14" s="100">
        <f>(N14-Barrowman!$J$21)/Barrowman!$D$8</f>
        <v>0.96482046166023694</v>
      </c>
      <c r="R14" s="101">
        <f>(O14-Barrowman!$J$21)/Barrowman!$D$8</f>
        <v>0.87247881405702121</v>
      </c>
      <c r="S14" s="101">
        <f>(N14-Barrowman!$J$17)/Barrowman!$D$8</f>
        <v>0.42520693509018836</v>
      </c>
      <c r="T14" s="101">
        <f>(O14-Barrowman!$J$17)/Barrowman!$D$8</f>
        <v>0.33286528748697269</v>
      </c>
      <c r="U14" s="101">
        <f>(N14-Barrowman!$J$25)/Barrowman!$D$8</f>
        <v>0.77883012349598568</v>
      </c>
      <c r="V14" s="102">
        <f>(O14-Barrowman!$J$25)/Barrowman!$D$8</f>
        <v>0.68648847589276996</v>
      </c>
    </row>
    <row r="15" spans="2:22">
      <c r="B15" s="1">
        <v>11</v>
      </c>
      <c r="C15" s="57">
        <f t="shared" si="0"/>
        <v>0.19198621771937624</v>
      </c>
      <c r="D15" s="2"/>
      <c r="E15" s="56">
        <f>4*Barrowman!$J$52*Barrowman!$I$59*'Plot Wind'!$C15/(PI()*Barrowman!$D$8^2)</f>
        <v>0.27495079620683488</v>
      </c>
      <c r="F15" s="5">
        <f>4*Barrowman!$J$52*Barrowman!$I$60*'Plot Wind'!$C15/(PI()*Barrowman!$D$8^2)</f>
        <v>2.6694041867954912</v>
      </c>
      <c r="G15" s="5">
        <f>4*Barrowman!$J$52*Barrowman!$I$61*'Plot Wind'!$C15/(PI()*Barrowman!$D$8^2)</f>
        <v>0.1485150558853095</v>
      </c>
      <c r="H15" s="57">
        <f>4*Barrowman!$J$52*Barrowman!$I$62*'Plot Wind'!$C15/(PI()*Barrowman!$D$8^2)</f>
        <v>0.75805217806197978</v>
      </c>
      <c r="I15" s="58">
        <f>E15*Barrowman!$J$59</f>
        <v>54.560548622293794</v>
      </c>
      <c r="J15" s="4">
        <f>F15*Barrowman!$J$60</f>
        <v>3590.3486312399355</v>
      </c>
      <c r="K15" s="4">
        <f>G15*Barrowman!$J$61</f>
        <v>205.59496117662965</v>
      </c>
      <c r="L15" s="59">
        <f>H15*Barrowman!$J$62</f>
        <v>1419.4527034210571</v>
      </c>
      <c r="M15" s="2"/>
      <c r="N15" s="58">
        <f>(Barrowman!$J$5*Barrowman!$J$10+Barrowman!$J$6*Barrowman!$J$11+Barrowman!$J$7*Barrowman!$J$12+SUM(I15:L15)+K15+L15)/(Barrowman!$J$5+Barrowman!$J$6+Barrowman!$J$7+SUM(E15:H15)+G15+H15)</f>
        <v>1604.1969201487586</v>
      </c>
      <c r="O15" s="59">
        <f>(Barrowman!$J$5*Barrowman!$J$10+Barrowman!$J$6*Barrowman!$J$11+Barrowman!$J$7*Barrowman!$J$12+SUM(I15:K15))/(Barrowman!$J$5+Barrowman!$J$6+Barrowman!$J$7+SUM(E15:G15))</f>
        <v>1583.1735900917101</v>
      </c>
      <c r="P15" s="4"/>
      <c r="Q15" s="93">
        <f>(N15-Barrowman!$J$21)/Barrowman!$D$8</f>
        <v>0.9478112084481094</v>
      </c>
      <c r="R15" s="11">
        <f>(O15-Barrowman!$J$21)/Barrowman!$D$8</f>
        <v>0.84624922749618425</v>
      </c>
      <c r="S15" s="11">
        <f>(N15-Barrowman!$J$17)/Barrowman!$D$8</f>
        <v>0.40819768187806083</v>
      </c>
      <c r="T15" s="11">
        <f>(O15-Barrowman!$J$17)/Barrowman!$D$8</f>
        <v>0.30663570092613573</v>
      </c>
      <c r="U15" s="11">
        <f>(N15-Barrowman!$J$25)/Barrowman!$D$8</f>
        <v>0.76182087028385814</v>
      </c>
      <c r="V15" s="94">
        <f>(O15-Barrowman!$J$25)/Barrowman!$D$8</f>
        <v>0.660258889331933</v>
      </c>
    </row>
    <row r="16" spans="2:22">
      <c r="B16" s="1">
        <v>12</v>
      </c>
      <c r="C16" s="57">
        <f t="shared" si="0"/>
        <v>0.20943951023931953</v>
      </c>
      <c r="D16" s="2"/>
      <c r="E16" s="56">
        <f>4*Barrowman!$J$52*Barrowman!$I$59*'Plot Wind'!$C16/(PI()*Barrowman!$D$8^2)</f>
        <v>0.29994632313472896</v>
      </c>
      <c r="F16" s="5">
        <f>4*Barrowman!$J$52*Barrowman!$I$60*'Plot Wind'!$C16/(PI()*Barrowman!$D$8^2)</f>
        <v>2.9120772946859903</v>
      </c>
      <c r="G16" s="5">
        <f>4*Barrowman!$J$52*Barrowman!$I$61*'Plot Wind'!$C16/(PI()*Barrowman!$D$8^2)</f>
        <v>0.16201642460215582</v>
      </c>
      <c r="H16" s="57">
        <f>4*Barrowman!$J$52*Barrowman!$I$62*'Plot Wind'!$C16/(PI()*Barrowman!$D$8^2)</f>
        <v>0.82696601243125079</v>
      </c>
      <c r="I16" s="58">
        <f>E16*Barrowman!$J$59</f>
        <v>59.520598497047779</v>
      </c>
      <c r="J16" s="4">
        <f>F16*Barrowman!$J$60</f>
        <v>3916.7439613526572</v>
      </c>
      <c r="K16" s="4">
        <f>G16*Barrowman!$J$61</f>
        <v>224.28541219268689</v>
      </c>
      <c r="L16" s="59">
        <f>H16*Barrowman!$J$62</f>
        <v>1548.4938582775171</v>
      </c>
      <c r="M16" s="2"/>
      <c r="N16" s="58">
        <f>(Barrowman!$J$5*Barrowman!$J$10+Barrowman!$J$6*Barrowman!$J$11+Barrowman!$J$7*Barrowman!$J$12+SUM(I16:L16)+K16+L16)/(Barrowman!$J$5+Barrowman!$J$6+Barrowman!$J$7+SUM(E16:H16)+G16+H16)</f>
        <v>1600.8291051349909</v>
      </c>
      <c r="O16" s="59">
        <f>(Barrowman!$J$5*Barrowman!$J$10+Barrowman!$J$6*Barrowman!$J$11+Barrowman!$J$7*Barrowman!$J$12+SUM(I16:K16))/(Barrowman!$J$5+Barrowman!$J$6+Barrowman!$J$7+SUM(E16:G16))</f>
        <v>1577.9129695594661</v>
      </c>
      <c r="P16" s="4"/>
      <c r="Q16" s="93">
        <f>(N16-Barrowman!$J$21)/Barrowman!$D$8</f>
        <v>0.93154157070043897</v>
      </c>
      <c r="R16" s="11">
        <f>(O16-Barrowman!$J$21)/Barrowman!$D$8</f>
        <v>0.82083560173655112</v>
      </c>
      <c r="S16" s="11">
        <f>(N16-Barrowman!$J$17)/Barrowman!$D$8</f>
        <v>0.39192804413039045</v>
      </c>
      <c r="T16" s="11">
        <f>(O16-Barrowman!$J$17)/Barrowman!$D$8</f>
        <v>0.28122207516650266</v>
      </c>
      <c r="U16" s="11">
        <f>(N16-Barrowman!$J$25)/Barrowman!$D$8</f>
        <v>0.74555123253618782</v>
      </c>
      <c r="V16" s="94">
        <f>(O16-Barrowman!$J$25)/Barrowman!$D$8</f>
        <v>0.63484526357229998</v>
      </c>
    </row>
    <row r="17" spans="2:22">
      <c r="B17" s="1">
        <v>13</v>
      </c>
      <c r="C17" s="57">
        <f t="shared" si="0"/>
        <v>0.22689280275926282</v>
      </c>
      <c r="D17" s="2"/>
      <c r="E17" s="56">
        <f>4*Barrowman!$J$52*Barrowman!$I$59*'Plot Wind'!$C17/(PI()*Barrowman!$D$8^2)</f>
        <v>0.32494185006262305</v>
      </c>
      <c r="F17" s="5">
        <f>4*Barrowman!$J$52*Barrowman!$I$60*'Plot Wind'!$C17/(PI()*Barrowman!$D$8^2)</f>
        <v>3.1547504025764894</v>
      </c>
      <c r="G17" s="5">
        <f>4*Barrowman!$J$52*Barrowman!$I$61*'Plot Wind'!$C17/(PI()*Barrowman!$D$8^2)</f>
        <v>0.17551779331900214</v>
      </c>
      <c r="H17" s="57">
        <f>4*Barrowman!$J$52*Barrowman!$I$62*'Plot Wind'!$C17/(PI()*Barrowman!$D$8^2)</f>
        <v>0.89587984680052157</v>
      </c>
      <c r="I17" s="58">
        <f>E17*Barrowman!$J$59</f>
        <v>64.480648371801763</v>
      </c>
      <c r="J17" s="4">
        <f>F17*Barrowman!$J$60</f>
        <v>4243.1392914653779</v>
      </c>
      <c r="K17" s="4">
        <f>G17*Barrowman!$J$61</f>
        <v>242.97586320874413</v>
      </c>
      <c r="L17" s="59">
        <f>H17*Barrowman!$J$62</f>
        <v>1677.5350131339767</v>
      </c>
      <c r="M17" s="2"/>
      <c r="N17" s="58">
        <f>(Barrowman!$J$5*Barrowman!$J$10+Barrowman!$J$6*Barrowman!$J$11+Barrowman!$J$7*Barrowman!$J$12+SUM(I17:L17)+K17+L17)/(Barrowman!$J$5+Barrowman!$J$6+Barrowman!$J$7+SUM(E17:H17)+G17+H17)</f>
        <v>1597.6046170865634</v>
      </c>
      <c r="O17" s="59">
        <f>(Barrowman!$J$5*Barrowman!$J$10+Barrowman!$J$6*Barrowman!$J$11+Barrowman!$J$7*Barrowman!$J$12+SUM(I17:K17))/(Barrowman!$J$5+Barrowman!$J$6+Barrowman!$J$7+SUM(E17:G17))</f>
        <v>1572.8134921282624</v>
      </c>
      <c r="P17" s="4"/>
      <c r="Q17" s="93">
        <f>(N17-Barrowman!$J$21)/Barrowman!$D$8</f>
        <v>0.91596433375151398</v>
      </c>
      <c r="R17" s="11">
        <f>(O17-Barrowman!$J$21)/Barrowman!$D$8</f>
        <v>0.79620044506406951</v>
      </c>
      <c r="S17" s="11">
        <f>(N17-Barrowman!$J$17)/Barrowman!$D$8</f>
        <v>0.37635080718146546</v>
      </c>
      <c r="T17" s="11">
        <f>(O17-Barrowman!$J$17)/Barrowman!$D$8</f>
        <v>0.25658691849402104</v>
      </c>
      <c r="U17" s="11">
        <f>(N17-Barrowman!$J$25)/Barrowman!$D$8</f>
        <v>0.72997399558726273</v>
      </c>
      <c r="V17" s="94">
        <f>(O17-Barrowman!$J$25)/Barrowman!$D$8</f>
        <v>0.61021010689981836</v>
      </c>
    </row>
    <row r="18" spans="2:22">
      <c r="B18" s="17">
        <v>14</v>
      </c>
      <c r="C18" s="81">
        <f t="shared" si="0"/>
        <v>0.24434609527920614</v>
      </c>
      <c r="D18" s="18"/>
      <c r="E18" s="80">
        <f>4*Barrowman!$J$52*Barrowman!$I$59*'Plot Wind'!$C18/(PI()*Barrowman!$D$8^2)</f>
        <v>0.34993737699051713</v>
      </c>
      <c r="F18" s="34">
        <f>4*Barrowman!$J$52*Barrowman!$I$60*'Plot Wind'!$C18/(PI()*Barrowman!$D$8^2)</f>
        <v>3.397423510466989</v>
      </c>
      <c r="G18" s="34">
        <f>4*Barrowman!$J$52*Barrowman!$I$61*'Plot Wind'!$C18/(PI()*Barrowman!$D$8^2)</f>
        <v>0.18901916203584848</v>
      </c>
      <c r="H18" s="81">
        <f>4*Barrowman!$J$52*Barrowman!$I$62*'Plot Wind'!$C18/(PI()*Barrowman!$D$8^2)</f>
        <v>0.96479368116979269</v>
      </c>
      <c r="I18" s="90">
        <f>E18*Barrowman!$J$59</f>
        <v>69.440698246555741</v>
      </c>
      <c r="J18" s="26">
        <f>F18*Barrowman!$J$60</f>
        <v>4569.5346215781001</v>
      </c>
      <c r="K18" s="26">
        <f>G18*Barrowman!$J$61</f>
        <v>261.6663142248014</v>
      </c>
      <c r="L18" s="91">
        <f>H18*Barrowman!$J$62</f>
        <v>1806.5761679904367</v>
      </c>
      <c r="M18" s="18"/>
      <c r="N18" s="90">
        <f>(Barrowman!$J$5*Barrowman!$J$10+Barrowman!$J$6*Barrowman!$J$11+Barrowman!$J$7*Barrowman!$J$12+SUM(I18:L18)+K18+L18)/(Barrowman!$J$5+Barrowman!$J$6+Barrowman!$J$7+SUM(E18:H18)+G18+H18)</f>
        <v>1594.5144971079574</v>
      </c>
      <c r="O18" s="91">
        <f>(Barrowman!$J$5*Barrowman!$J$10+Barrowman!$J$6*Barrowman!$J$11+Barrowman!$J$7*Barrowman!$J$12+SUM(I18:K18))/(Barrowman!$J$5+Barrowman!$J$6+Barrowman!$J$7+SUM(E18:G18))</f>
        <v>1567.8678652971153</v>
      </c>
      <c r="P18" s="26"/>
      <c r="Q18" s="96">
        <f>(N18-Barrowman!$J$21)/Barrowman!$D$8</f>
        <v>0.9010362179128375</v>
      </c>
      <c r="R18" s="97">
        <f>(O18-Barrowman!$J$21)/Barrowman!$D$8</f>
        <v>0.77230852800538774</v>
      </c>
      <c r="S18" s="97">
        <f>(N18-Barrowman!$J$17)/Barrowman!$D$8</f>
        <v>0.36142269134278898</v>
      </c>
      <c r="T18" s="97">
        <f>(O18-Barrowman!$J$17)/Barrowman!$D$8</f>
        <v>0.23269500143533919</v>
      </c>
      <c r="U18" s="97">
        <f>(N18-Barrowman!$J$25)/Barrowman!$D$8</f>
        <v>0.71504587974858635</v>
      </c>
      <c r="V18" s="98">
        <f>(O18-Barrowman!$J$25)/Barrowman!$D$8</f>
        <v>0.58631818984113648</v>
      </c>
    </row>
    <row r="19" spans="2:22">
      <c r="B19" s="12">
        <v>15</v>
      </c>
      <c r="C19" s="99">
        <f t="shared" si="0"/>
        <v>0.26179938779914941</v>
      </c>
      <c r="D19" s="13"/>
      <c r="E19" s="106">
        <f>4*Barrowman!$J$52*Barrowman!$I$59*'Plot Wind'!$C19/(PI()*Barrowman!$D$8^2)</f>
        <v>0.37493290391841116</v>
      </c>
      <c r="F19" s="107">
        <f>4*Barrowman!$J$52*Barrowman!$I$60*'Plot Wind'!$C19/(PI()*Barrowman!$D$8^2)</f>
        <v>3.6400966183574881</v>
      </c>
      <c r="G19" s="107">
        <f>4*Barrowman!$J$52*Barrowman!$I$61*'Plot Wind'!$C19/(PI()*Barrowman!$D$8^2)</f>
        <v>0.20252053075269477</v>
      </c>
      <c r="H19" s="99">
        <f>4*Barrowman!$J$52*Barrowman!$I$62*'Plot Wind'!$C19/(PI()*Barrowman!$D$8^2)</f>
        <v>1.0337075155390634</v>
      </c>
      <c r="I19" s="103">
        <f>E19*Barrowman!$J$59</f>
        <v>74.400748121309718</v>
      </c>
      <c r="J19" s="105">
        <f>F19*Barrowman!$J$60</f>
        <v>4895.9299516908213</v>
      </c>
      <c r="K19" s="105">
        <f>G19*Barrowman!$J$61</f>
        <v>280.35676524085864</v>
      </c>
      <c r="L19" s="104">
        <f>H19*Barrowman!$J$62</f>
        <v>1935.6173228468961</v>
      </c>
      <c r="M19" s="13"/>
      <c r="N19" s="103">
        <f>(Barrowman!$J$5*Barrowman!$J$10+Barrowman!$J$6*Barrowman!$J$11+Barrowman!$J$7*Barrowman!$J$12+SUM(I19:L19)+K19+L19)/(Barrowman!$J$5+Barrowman!$J$6+Barrowman!$J$7+SUM(E19:H19)+G19+H19)</f>
        <v>1591.5505177188538</v>
      </c>
      <c r="O19" s="104">
        <f>(Barrowman!$J$5*Barrowman!$J$10+Barrowman!$J$6*Barrowman!$J$11+Barrowman!$J$7*Barrowman!$J$12+SUM(I19:K19))/(Barrowman!$J$5+Barrowman!$J$6+Barrowman!$J$7+SUM(E19:G19))</f>
        <v>1563.0692300535882</v>
      </c>
      <c r="P19" s="105"/>
      <c r="Q19" s="100">
        <f>(N19-Barrowman!$J$21)/Barrowman!$D$8</f>
        <v>0.88671747690267544</v>
      </c>
      <c r="R19" s="101">
        <f>(O19-Barrowman!$J$21)/Barrowman!$D$8</f>
        <v>0.74912671523472552</v>
      </c>
      <c r="S19" s="101">
        <f>(N19-Barrowman!$J$17)/Barrowman!$D$8</f>
        <v>0.34710395033262698</v>
      </c>
      <c r="T19" s="101">
        <f>(O19-Barrowman!$J$17)/Barrowman!$D$8</f>
        <v>0.20951318866467694</v>
      </c>
      <c r="U19" s="101">
        <f>(N19-Barrowman!$J$25)/Barrowman!$D$8</f>
        <v>0.70072713873842429</v>
      </c>
      <c r="V19" s="102">
        <f>(O19-Barrowman!$J$25)/Barrowman!$D$8</f>
        <v>0.56313637707047426</v>
      </c>
    </row>
    <row r="20" spans="2:22">
      <c r="B20" s="1">
        <v>16</v>
      </c>
      <c r="C20" s="57">
        <f t="shared" si="0"/>
        <v>0.27925268031909273</v>
      </c>
      <c r="D20" s="2"/>
      <c r="E20" s="56">
        <f>4*Barrowman!$J$52*Barrowman!$I$59*'Plot Wind'!$C20/(PI()*Barrowman!$D$8^2)</f>
        <v>0.39992843084630531</v>
      </c>
      <c r="F20" s="5">
        <f>4*Barrowman!$J$52*Barrowman!$I$60*'Plot Wind'!$C20/(PI()*Barrowman!$D$8^2)</f>
        <v>3.8827697262479877</v>
      </c>
      <c r="G20" s="5">
        <f>4*Barrowman!$J$52*Barrowman!$I$61*'Plot Wind'!$C20/(PI()*Barrowman!$D$8^2)</f>
        <v>0.21602189946954112</v>
      </c>
      <c r="H20" s="57">
        <f>4*Barrowman!$J$52*Barrowman!$I$62*'Plot Wind'!$C20/(PI()*Barrowman!$D$8^2)</f>
        <v>1.1026213499083344</v>
      </c>
      <c r="I20" s="58">
        <f>E20*Barrowman!$J$59</f>
        <v>79.36079799606371</v>
      </c>
      <c r="J20" s="4">
        <f>F20*Barrowman!$J$60</f>
        <v>5222.3252818035435</v>
      </c>
      <c r="K20" s="4">
        <f>G20*Barrowman!$J$61</f>
        <v>299.04721625691587</v>
      </c>
      <c r="L20" s="59">
        <f>H20*Barrowman!$J$62</f>
        <v>2064.6584777033563</v>
      </c>
      <c r="M20" s="2"/>
      <c r="N20" s="58">
        <f>(Barrowman!$J$5*Barrowman!$J$10+Barrowman!$J$6*Barrowman!$J$11+Barrowman!$J$7*Barrowman!$J$12+SUM(I20:L20)+K20+L20)/(Barrowman!$J$5+Barrowman!$J$6+Barrowman!$J$7+SUM(E20:H20)+G20+H20)</f>
        <v>1588.705109705088</v>
      </c>
      <c r="O20" s="59">
        <f>(Barrowman!$J$5*Barrowman!$J$10+Barrowman!$J$6*Barrowman!$J$11+Barrowman!$J$7*Barrowman!$J$12+SUM(I20:K20))/(Barrowman!$J$5+Barrowman!$J$6+Barrowman!$J$7+SUM(E20:G20))</f>
        <v>1558.4111291355921</v>
      </c>
      <c r="P20" s="4"/>
      <c r="Q20" s="93">
        <f>(N20-Barrowman!$J$21)/Barrowman!$D$8</f>
        <v>0.87297154446902436</v>
      </c>
      <c r="R20" s="11">
        <f>(O20-Barrowman!$J$21)/Barrowman!$D$8</f>
        <v>0.72662381224923711</v>
      </c>
      <c r="S20" s="11">
        <f>(N20-Barrowman!$J$17)/Barrowman!$D$8</f>
        <v>0.33335801789897579</v>
      </c>
      <c r="T20" s="11">
        <f>(O20-Barrowman!$J$17)/Barrowman!$D$8</f>
        <v>0.18701028567918862</v>
      </c>
      <c r="U20" s="11">
        <f>(N20-Barrowman!$J$25)/Barrowman!$D$8</f>
        <v>0.68698120630477311</v>
      </c>
      <c r="V20" s="94">
        <f>(O20-Barrowman!$J$25)/Barrowman!$D$8</f>
        <v>0.54063347408498597</v>
      </c>
    </row>
    <row r="21" spans="2:22">
      <c r="B21" s="1">
        <v>17</v>
      </c>
      <c r="C21" s="57">
        <f t="shared" si="0"/>
        <v>0.29670597283903599</v>
      </c>
      <c r="D21" s="2"/>
      <c r="E21" s="56">
        <f>4*Barrowman!$J$52*Barrowman!$I$59*'Plot Wind'!$C21/(PI()*Barrowman!$D$8^2)</f>
        <v>0.42492395777419933</v>
      </c>
      <c r="F21" s="5">
        <f>4*Barrowman!$J$52*Barrowman!$I$60*'Plot Wind'!$C21/(PI()*Barrowman!$D$8^2)</f>
        <v>4.1254428341384868</v>
      </c>
      <c r="G21" s="5">
        <f>4*Barrowman!$J$52*Barrowman!$I$61*'Plot Wind'!$C21/(PI()*Barrowman!$D$8^2)</f>
        <v>0.22952326818638741</v>
      </c>
      <c r="H21" s="57">
        <f>4*Barrowman!$J$52*Barrowman!$I$62*'Plot Wind'!$C21/(PI()*Barrowman!$D$8^2)</f>
        <v>1.1715351842776052</v>
      </c>
      <c r="I21" s="58">
        <f>E21*Barrowman!$J$59</f>
        <v>84.320847870817687</v>
      </c>
      <c r="J21" s="4">
        <f>F21*Barrowman!$J$60</f>
        <v>5548.7206119162647</v>
      </c>
      <c r="K21" s="4">
        <f>G21*Barrowman!$J$61</f>
        <v>317.73766727297311</v>
      </c>
      <c r="L21" s="59">
        <f>H21*Barrowman!$J$62</f>
        <v>2193.6996325598157</v>
      </c>
      <c r="M21" s="2"/>
      <c r="N21" s="58">
        <f>(Barrowman!$J$5*Barrowman!$J$10+Barrowman!$J$6*Barrowman!$J$11+Barrowman!$J$7*Barrowman!$J$12+SUM(I21:L21)+K21+L21)/(Barrowman!$J$5+Barrowman!$J$6+Barrowman!$J$7+SUM(E21:H21)+G21+H21)</f>
        <v>1585.9712975762423</v>
      </c>
      <c r="O21" s="59">
        <f>(Barrowman!$J$5*Barrowman!$J$10+Barrowman!$J$6*Barrowman!$J$11+Barrowman!$J$7*Barrowman!$J$12+SUM(I21:K21))/(Barrowman!$J$5+Barrowman!$J$6+Barrowman!$J$7+SUM(E21:G21))</f>
        <v>1553.8874780414258</v>
      </c>
      <c r="P21" s="4"/>
      <c r="Q21" s="93">
        <f>(N21-Barrowman!$J$21)/Barrowman!$D$8</f>
        <v>0.85976472259054226</v>
      </c>
      <c r="R21" s="11">
        <f>(O21-Barrowman!$J$21)/Barrowman!$D$8</f>
        <v>0.7047704253208974</v>
      </c>
      <c r="S21" s="11">
        <f>(N21-Barrowman!$J$17)/Barrowman!$D$8</f>
        <v>0.32015119602049374</v>
      </c>
      <c r="T21" s="11">
        <f>(O21-Barrowman!$J$17)/Barrowman!$D$8</f>
        <v>0.16515689875084888</v>
      </c>
      <c r="U21" s="11">
        <f>(N21-Barrowman!$J$25)/Barrowman!$D$8</f>
        <v>0.67377438442629112</v>
      </c>
      <c r="V21" s="94">
        <f>(O21-Barrowman!$J$25)/Barrowman!$D$8</f>
        <v>0.51878008715664625</v>
      </c>
    </row>
    <row r="22" spans="2:22">
      <c r="B22" s="1">
        <v>18</v>
      </c>
      <c r="C22" s="57">
        <f t="shared" si="0"/>
        <v>0.31415926535897931</v>
      </c>
      <c r="D22" s="2"/>
      <c r="E22" s="56">
        <f>4*Barrowman!$J$52*Barrowman!$I$59*'Plot Wind'!$C22/(PI()*Barrowman!$D$8^2)</f>
        <v>0.44991948470209342</v>
      </c>
      <c r="F22" s="5">
        <f>4*Barrowman!$J$52*Barrowman!$I$60*'Plot Wind'!$C22/(PI()*Barrowman!$D$8^2)</f>
        <v>4.3681159420289859</v>
      </c>
      <c r="G22" s="5">
        <f>4*Barrowman!$J$52*Barrowman!$I$61*'Plot Wind'!$C22/(PI()*Barrowman!$D$8^2)</f>
        <v>0.24302463690323373</v>
      </c>
      <c r="H22" s="57">
        <f>4*Barrowman!$J$52*Barrowman!$I$62*'Plot Wind'!$C22/(PI()*Barrowman!$D$8^2)</f>
        <v>1.2404490186468762</v>
      </c>
      <c r="I22" s="58">
        <f>E22*Barrowman!$J$59</f>
        <v>89.280897745571664</v>
      </c>
      <c r="J22" s="4">
        <f>F22*Barrowman!$J$60</f>
        <v>5875.115942028986</v>
      </c>
      <c r="K22" s="4">
        <f>G22*Barrowman!$J$61</f>
        <v>336.42811828903035</v>
      </c>
      <c r="L22" s="59">
        <f>H22*Barrowman!$J$62</f>
        <v>2322.7407874162755</v>
      </c>
      <c r="M22" s="2"/>
      <c r="N22" s="58">
        <f>(Barrowman!$J$5*Barrowman!$J$10+Barrowman!$J$6*Barrowman!$J$11+Barrowman!$J$7*Barrowman!$J$12+SUM(I22:L22)+K22+L22)/(Barrowman!$J$5+Barrowman!$J$6+Barrowman!$J$7+SUM(E22:H22)+G22+H22)</f>
        <v>1583.3426424711745</v>
      </c>
      <c r="O22" s="59">
        <f>(Barrowman!$J$5*Barrowman!$J$10+Barrowman!$J$6*Barrowman!$J$11+Barrowman!$J$7*Barrowman!$J$12+SUM(I22:K22))/(Barrowman!$J$5+Barrowman!$J$6+Barrowman!$J$7+SUM(E22:G22))</f>
        <v>1549.4925385143692</v>
      </c>
      <c r="P22" s="4"/>
      <c r="Q22" s="93">
        <f>(N22-Barrowman!$J$21)/Barrowman!$D$8</f>
        <v>0.84706590565784778</v>
      </c>
      <c r="R22" s="11">
        <f>(O22-Barrowman!$J$21)/Barrowman!$D$8</f>
        <v>0.68353883340275001</v>
      </c>
      <c r="S22" s="11">
        <f>(N22-Barrowman!$J$17)/Barrowman!$D$8</f>
        <v>0.30745237908779921</v>
      </c>
      <c r="T22" s="11">
        <f>(O22-Barrowman!$J$17)/Barrowman!$D$8</f>
        <v>0.14392530683270144</v>
      </c>
      <c r="U22" s="11">
        <f>(N22-Barrowman!$J$25)/Barrowman!$D$8</f>
        <v>0.66107556749359653</v>
      </c>
      <c r="V22" s="94">
        <f>(O22-Barrowman!$J$25)/Barrowman!$D$8</f>
        <v>0.49754849523849876</v>
      </c>
    </row>
    <row r="23" spans="2:22">
      <c r="B23" s="17">
        <v>19</v>
      </c>
      <c r="C23" s="81">
        <f t="shared" si="0"/>
        <v>0.33161255787892263</v>
      </c>
      <c r="D23" s="18"/>
      <c r="E23" s="80">
        <f>4*Barrowman!$J$52*Barrowman!$I$59*'Plot Wind'!$C23/(PI()*Barrowman!$D$8^2)</f>
        <v>0.47491501162998756</v>
      </c>
      <c r="F23" s="34">
        <f>4*Barrowman!$J$52*Barrowman!$I$60*'Plot Wind'!$C23/(PI()*Barrowman!$D$8^2)</f>
        <v>4.6107890499194859</v>
      </c>
      <c r="G23" s="34">
        <f>4*Barrowman!$J$52*Barrowman!$I$61*'Plot Wind'!$C23/(PI()*Barrowman!$D$8^2)</f>
        <v>0.2565260056200801</v>
      </c>
      <c r="H23" s="81">
        <f>4*Barrowman!$J$52*Barrowman!$I$62*'Plot Wind'!$C23/(PI()*Barrowman!$D$8^2)</f>
        <v>1.3093628530161472</v>
      </c>
      <c r="I23" s="90">
        <f>E23*Barrowman!$J$59</f>
        <v>94.240947620325656</v>
      </c>
      <c r="J23" s="26">
        <f>F23*Barrowman!$J$60</f>
        <v>6201.5112721417081</v>
      </c>
      <c r="K23" s="26">
        <f>G23*Barrowman!$J$61</f>
        <v>355.11856930508765</v>
      </c>
      <c r="L23" s="91">
        <f>H23*Barrowman!$J$62</f>
        <v>2451.7819422727357</v>
      </c>
      <c r="M23" s="18"/>
      <c r="N23" s="90">
        <f>(Barrowman!$J$5*Barrowman!$J$10+Barrowman!$J$6*Barrowman!$J$11+Barrowman!$J$7*Barrowman!$J$12+SUM(I23:L23)+K23+L23)/(Barrowman!$J$5+Barrowman!$J$6+Barrowman!$J$7+SUM(E23:H23)+G23+H23)</f>
        <v>1580.8131915277002</v>
      </c>
      <c r="O23" s="91">
        <f>(Barrowman!$J$5*Barrowman!$J$10+Barrowman!$J$6*Barrowman!$J$11+Barrowman!$J$7*Barrowman!$J$12+SUM(I23:K23))/(Barrowman!$J$5+Barrowman!$J$6+Barrowman!$J$7+SUM(E23:G23))</f>
        <v>1545.2208942588672</v>
      </c>
      <c r="P23" s="26"/>
      <c r="Q23" s="96">
        <f>(N23-Barrowman!$J$21)/Barrowman!$D$8</f>
        <v>0.83484633588260948</v>
      </c>
      <c r="R23" s="97">
        <f>(O23-Barrowman!$J$21)/Barrowman!$D$8</f>
        <v>0.66290287081578381</v>
      </c>
      <c r="S23" s="97">
        <f>(N23-Barrowman!$J$17)/Barrowman!$D$8</f>
        <v>0.29523280931256091</v>
      </c>
      <c r="T23" s="97">
        <f>(O23-Barrowman!$J$17)/Barrowman!$D$8</f>
        <v>0.12328934424573527</v>
      </c>
      <c r="U23" s="97">
        <f>(N23-Barrowman!$J$25)/Barrowman!$D$8</f>
        <v>0.64885599771835822</v>
      </c>
      <c r="V23" s="98">
        <f>(O23-Barrowman!$J$25)/Barrowman!$D$8</f>
        <v>0.47691253265153261</v>
      </c>
    </row>
    <row r="24" spans="2:22">
      <c r="B24" s="12">
        <v>20</v>
      </c>
      <c r="C24" s="99">
        <f t="shared" si="0"/>
        <v>0.3490658503988659</v>
      </c>
      <c r="D24" s="13"/>
      <c r="E24" s="106">
        <f>4*Barrowman!$J$52*Barrowman!$I$59*'Plot Wind'!$C24/(PI()*Barrowman!$D$8^2)</f>
        <v>0.49991053855788165</v>
      </c>
      <c r="F24" s="107">
        <f>4*Barrowman!$J$52*Barrowman!$I$60*'Plot Wind'!$C24/(PI()*Barrowman!$D$8^2)</f>
        <v>4.8534621578099841</v>
      </c>
      <c r="G24" s="107">
        <f>4*Barrowman!$J$52*Barrowman!$I$61*'Plot Wind'!$C24/(PI()*Barrowman!$D$8^2)</f>
        <v>0.27002737433692642</v>
      </c>
      <c r="H24" s="99">
        <f>4*Barrowman!$J$52*Barrowman!$I$62*'Plot Wind'!$C24/(PI()*Barrowman!$D$8^2)</f>
        <v>1.378276687385418</v>
      </c>
      <c r="I24" s="103">
        <f>E24*Barrowman!$J$59</f>
        <v>99.200997495079633</v>
      </c>
      <c r="J24" s="105">
        <f>F24*Barrowman!$J$60</f>
        <v>6527.9066022544284</v>
      </c>
      <c r="K24" s="105">
        <f>G24*Barrowman!$J$61</f>
        <v>373.80902032114489</v>
      </c>
      <c r="L24" s="104">
        <f>H24*Barrowman!$J$62</f>
        <v>2580.823097129195</v>
      </c>
      <c r="M24" s="13"/>
      <c r="N24" s="103">
        <f>(Barrowman!$J$5*Barrowman!$J$10+Barrowman!$J$6*Barrowman!$J$11+Barrowman!$J$7*Barrowman!$J$12+SUM(I24:L24)+K24+L24)/(Barrowman!$J$5+Barrowman!$J$6+Barrowman!$J$7+SUM(E24:H24)+G24+H24)</f>
        <v>1578.3774328784039</v>
      </c>
      <c r="O24" s="104">
        <f>(Barrowman!$J$5*Barrowman!$J$10+Barrowman!$J$6*Barrowman!$J$11+Barrowman!$J$7*Barrowman!$J$12+SUM(I24:K24))/(Barrowman!$J$5+Barrowman!$J$6+Barrowman!$J$7+SUM(E24:G24))</f>
        <v>1541.067428672204</v>
      </c>
      <c r="P24" s="105"/>
      <c r="Q24" s="100">
        <f>(N24-Barrowman!$J$21)/Barrowman!$D$8</f>
        <v>0.82307938588600893</v>
      </c>
      <c r="R24" s="101">
        <f>(O24-Barrowman!$J$21)/Barrowman!$D$8</f>
        <v>0.64283781967248288</v>
      </c>
      <c r="S24" s="101">
        <f>(N24-Barrowman!$J$17)/Barrowman!$D$8</f>
        <v>0.28346585931596041</v>
      </c>
      <c r="T24" s="101">
        <f>(O24-Barrowman!$J$17)/Barrowman!$D$8</f>
        <v>0.10322429310243436</v>
      </c>
      <c r="U24" s="101">
        <f>(N24-Barrowman!$J$25)/Barrowman!$D$8</f>
        <v>0.63708904772175778</v>
      </c>
      <c r="V24" s="102">
        <f>(O24-Barrowman!$J$25)/Barrowman!$D$8</f>
        <v>0.45684748150823168</v>
      </c>
    </row>
    <row r="25" spans="2:22">
      <c r="B25" s="1">
        <v>21</v>
      </c>
      <c r="C25" s="57">
        <f t="shared" si="0"/>
        <v>0.36651914291880922</v>
      </c>
      <c r="D25" s="2"/>
      <c r="E25" s="56">
        <f>4*Barrowman!$J$52*Barrowman!$I$59*'Plot Wind'!$C25/(PI()*Barrowman!$D$8^2)</f>
        <v>0.52490606548577567</v>
      </c>
      <c r="F25" s="5">
        <f>4*Barrowman!$J$52*Barrowman!$I$60*'Plot Wind'!$C25/(PI()*Barrowman!$D$8^2)</f>
        <v>5.0961352657004841</v>
      </c>
      <c r="G25" s="5">
        <f>4*Barrowman!$J$52*Barrowman!$I$61*'Plot Wind'!$C25/(PI()*Barrowman!$D$8^2)</f>
        <v>0.28352874305377274</v>
      </c>
      <c r="H25" s="57">
        <f>4*Barrowman!$J$52*Barrowman!$I$62*'Plot Wind'!$C25/(PI()*Barrowman!$D$8^2)</f>
        <v>1.447190521754689</v>
      </c>
      <c r="I25" s="58">
        <f>E25*Barrowman!$J$59</f>
        <v>104.16104736983361</v>
      </c>
      <c r="J25" s="4">
        <f>F25*Barrowman!$J$60</f>
        <v>6854.3019323671515</v>
      </c>
      <c r="K25" s="4">
        <f>G25*Barrowman!$J$61</f>
        <v>392.49947133720212</v>
      </c>
      <c r="L25" s="59">
        <f>H25*Barrowman!$J$62</f>
        <v>2709.8642519856553</v>
      </c>
      <c r="M25" s="2"/>
      <c r="N25" s="58">
        <f>(Barrowman!$J$5*Barrowman!$J$10+Barrowman!$J$6*Barrowman!$J$11+Barrowman!$J$7*Barrowman!$J$12+SUM(I25:L25)+K25+L25)/(Barrowman!$J$5+Barrowman!$J$6+Barrowman!$J$7+SUM(E25:H25)+G25+H25)</f>
        <v>1576.0302555564519</v>
      </c>
      <c r="O25" s="59">
        <f>(Barrowman!$J$5*Barrowman!$J$10+Barrowman!$J$6*Barrowman!$J$11+Barrowman!$J$7*Barrowman!$J$12+SUM(I25:K25))/(Barrowman!$J$5+Barrowman!$J$6+Barrowman!$J$7+SUM(E25:G25))</f>
        <v>1537.0273043991788</v>
      </c>
      <c r="P25" s="4"/>
      <c r="Q25" s="93">
        <f>(N25-Barrowman!$J$21)/Barrowman!$D$8</f>
        <v>0.81174036500701419</v>
      </c>
      <c r="R25" s="11">
        <f>(O25-Barrowman!$J$21)/Barrowman!$D$8</f>
        <v>0.62332031110714381</v>
      </c>
      <c r="S25" s="11">
        <f>(N25-Barrowman!$J$17)/Barrowman!$D$8</f>
        <v>0.27212683843696572</v>
      </c>
      <c r="T25" s="11">
        <f>(O25-Barrowman!$J$17)/Barrowman!$D$8</f>
        <v>8.3706784537095305E-2</v>
      </c>
      <c r="U25" s="11">
        <f>(N25-Barrowman!$J$25)/Barrowman!$D$8</f>
        <v>0.62575002684276304</v>
      </c>
      <c r="V25" s="94">
        <f>(O25-Barrowman!$J$25)/Barrowman!$D$8</f>
        <v>0.43732997294289261</v>
      </c>
    </row>
    <row r="26" spans="2:22">
      <c r="B26" s="1">
        <v>22</v>
      </c>
      <c r="C26" s="57">
        <f t="shared" si="0"/>
        <v>0.38397243543875248</v>
      </c>
      <c r="D26" s="2"/>
      <c r="E26" s="56">
        <f>4*Barrowman!$J$52*Barrowman!$I$59*'Plot Wind'!$C26/(PI()*Barrowman!$D$8^2)</f>
        <v>0.54990159241366976</v>
      </c>
      <c r="F26" s="5">
        <f>4*Barrowman!$J$52*Barrowman!$I$60*'Plot Wind'!$C26/(PI()*Barrowman!$D$8^2)</f>
        <v>5.3388083735909824</v>
      </c>
      <c r="G26" s="5">
        <f>4*Barrowman!$J$52*Barrowman!$I$61*'Plot Wind'!$C26/(PI()*Barrowman!$D$8^2)</f>
        <v>0.297030111770619</v>
      </c>
      <c r="H26" s="57">
        <f>4*Barrowman!$J$52*Barrowman!$I$62*'Plot Wind'!$C26/(PI()*Barrowman!$D$8^2)</f>
        <v>1.5161043561239596</v>
      </c>
      <c r="I26" s="58">
        <f>E26*Barrowman!$J$59</f>
        <v>109.12109724458759</v>
      </c>
      <c r="J26" s="4">
        <f>F26*Barrowman!$J$60</f>
        <v>7180.6972624798709</v>
      </c>
      <c r="K26" s="4">
        <f>G26*Barrowman!$J$61</f>
        <v>411.18992235325931</v>
      </c>
      <c r="L26" s="59">
        <f>H26*Barrowman!$J$62</f>
        <v>2838.9054068421142</v>
      </c>
      <c r="M26" s="2"/>
      <c r="N26" s="58">
        <f>(Barrowman!$J$5*Barrowman!$J$10+Barrowman!$J$6*Barrowman!$J$11+Barrowman!$J$7*Barrowman!$J$12+SUM(I26:L26)+K26+L26)/(Barrowman!$J$5+Barrowman!$J$6+Barrowman!$J$7+SUM(E26:H26)+G26+H26)</f>
        <v>1573.7669136976103</v>
      </c>
      <c r="O26" s="59">
        <f>(Barrowman!$J$5*Barrowman!$J$10+Barrowman!$J$6*Barrowman!$J$11+Barrowman!$J$7*Barrowman!$J$12+SUM(I26:K26))/(Barrowman!$J$5+Barrowman!$J$6+Barrowman!$J$7+SUM(E26:G26))</f>
        <v>1533.095944538012</v>
      </c>
      <c r="P26" s="4"/>
      <c r="Q26" s="93">
        <f>(N26-Barrowman!$J$21)/Barrowman!$D$8</f>
        <v>0.80080634636526726</v>
      </c>
      <c r="R26" s="11">
        <f>(O26-Barrowman!$J$21)/Barrowman!$D$8</f>
        <v>0.60432823448314954</v>
      </c>
      <c r="S26" s="11">
        <f>(N26-Barrowman!$J$17)/Barrowman!$D$8</f>
        <v>0.2611928197952188</v>
      </c>
      <c r="T26" s="11">
        <f>(O26-Barrowman!$J$17)/Barrowman!$D$8</f>
        <v>6.4714707913101049E-2</v>
      </c>
      <c r="U26" s="11">
        <f>(N26-Barrowman!$J$25)/Barrowman!$D$8</f>
        <v>0.61481600820101612</v>
      </c>
      <c r="V26" s="94">
        <f>(O26-Barrowman!$J$25)/Barrowman!$D$8</f>
        <v>0.41833789631889839</v>
      </c>
    </row>
    <row r="27" spans="2:22">
      <c r="B27" s="1">
        <v>23</v>
      </c>
      <c r="C27" s="57">
        <f t="shared" si="0"/>
        <v>0.40142572795869574</v>
      </c>
      <c r="D27" s="2"/>
      <c r="E27" s="56">
        <f>4*Barrowman!$J$52*Barrowman!$I$59*'Plot Wind'!$C27/(PI()*Barrowman!$D$8^2)</f>
        <v>0.57489711934156373</v>
      </c>
      <c r="F27" s="5">
        <f>4*Barrowman!$J$52*Barrowman!$I$60*'Plot Wind'!$C27/(PI()*Barrowman!$D$8^2)</f>
        <v>5.5814814814814815</v>
      </c>
      <c r="G27" s="5">
        <f>4*Barrowman!$J$52*Barrowman!$I$61*'Plot Wind'!$C27/(PI()*Barrowman!$D$8^2)</f>
        <v>0.31053148048746532</v>
      </c>
      <c r="H27" s="57">
        <f>4*Barrowman!$J$52*Barrowman!$I$62*'Plot Wind'!$C27/(PI()*Barrowman!$D$8^2)</f>
        <v>1.5850181904932306</v>
      </c>
      <c r="I27" s="58">
        <f>E27*Barrowman!$J$59</f>
        <v>114.08114711934155</v>
      </c>
      <c r="J27" s="4">
        <f>F27*Barrowman!$J$60</f>
        <v>7507.0925925925922</v>
      </c>
      <c r="K27" s="4">
        <f>G27*Barrowman!$J$61</f>
        <v>429.88037336931654</v>
      </c>
      <c r="L27" s="59">
        <f>H27*Barrowman!$J$62</f>
        <v>2967.9465616985744</v>
      </c>
      <c r="M27" s="2"/>
      <c r="N27" s="58">
        <f>(Barrowman!$J$5*Barrowman!$J$10+Barrowman!$J$6*Barrowman!$J$11+Barrowman!$J$7*Barrowman!$J$12+SUM(I27:L27)+K27+L27)/(Barrowman!$J$5+Barrowman!$J$6+Barrowman!$J$7+SUM(E27:H27)+G27+H27)</f>
        <v>1571.5829945108119</v>
      </c>
      <c r="O27" s="59">
        <f>(Barrowman!$J$5*Barrowman!$J$10+Barrowman!$J$6*Barrowman!$J$11+Barrowman!$J$7*Barrowman!$J$12+SUM(I27:K27))/(Barrowman!$J$5+Barrowman!$J$6+Barrowman!$J$7+SUM(E27:G27))</f>
        <v>1529.2690153439596</v>
      </c>
      <c r="P27" s="4"/>
      <c r="Q27" s="93">
        <f>(N27-Barrowman!$J$21)/Barrowman!$D$8</f>
        <v>0.79025601212952601</v>
      </c>
      <c r="R27" s="11">
        <f>(O27-Barrowman!$J$21)/Barrowman!$D$8</f>
        <v>0.58584065383555362</v>
      </c>
      <c r="S27" s="11">
        <f>(N27-Barrowman!$J$17)/Barrowman!$D$8</f>
        <v>0.25064248555947749</v>
      </c>
      <c r="T27" s="11">
        <f>(O27-Barrowman!$J$17)/Barrowman!$D$8</f>
        <v>4.6227127265505139E-2</v>
      </c>
      <c r="U27" s="11">
        <f>(N27-Barrowman!$J$25)/Barrowman!$D$8</f>
        <v>0.60426567396527486</v>
      </c>
      <c r="V27" s="94">
        <f>(O27-Barrowman!$J$25)/Barrowman!$D$8</f>
        <v>0.39985031567130247</v>
      </c>
    </row>
    <row r="28" spans="2:22">
      <c r="B28" s="1">
        <v>24</v>
      </c>
      <c r="C28" s="57">
        <f t="shared" si="0"/>
        <v>0.41887902047863906</v>
      </c>
      <c r="D28" s="2"/>
      <c r="E28" s="56">
        <f>4*Barrowman!$J$52*Barrowman!$I$59*'Plot Wind'!$C28/(PI()*Barrowman!$D$8^2)</f>
        <v>0.59989264626945793</v>
      </c>
      <c r="F28" s="5">
        <f>4*Barrowman!$J$52*Barrowman!$I$60*'Plot Wind'!$C28/(PI()*Barrowman!$D$8^2)</f>
        <v>5.8241545893719806</v>
      </c>
      <c r="G28" s="5">
        <f>4*Barrowman!$J$52*Barrowman!$I$61*'Plot Wind'!$C28/(PI()*Barrowman!$D$8^2)</f>
        <v>0.32403284920431163</v>
      </c>
      <c r="H28" s="57">
        <f>4*Barrowman!$J$52*Barrowman!$I$62*'Plot Wind'!$C28/(PI()*Barrowman!$D$8^2)</f>
        <v>1.6539320248625016</v>
      </c>
      <c r="I28" s="58">
        <f>E28*Barrowman!$J$59</f>
        <v>119.04119699409556</v>
      </c>
      <c r="J28" s="4">
        <f>F28*Barrowman!$J$60</f>
        <v>7833.4879227053143</v>
      </c>
      <c r="K28" s="4">
        <f>G28*Barrowman!$J$61</f>
        <v>448.57082438537378</v>
      </c>
      <c r="L28" s="59">
        <f>H28*Barrowman!$J$62</f>
        <v>3096.9877165550342</v>
      </c>
      <c r="M28" s="2"/>
      <c r="N28" s="58">
        <f>(Barrowman!$J$5*Barrowman!$J$10+Barrowman!$J$6*Barrowman!$J$11+Barrowman!$J$7*Barrowman!$J$12+SUM(I28:L28)+K28+L28)/(Barrowman!$J$5+Barrowman!$J$6+Barrowman!$J$7+SUM(E28:H28)+G28+H28)</f>
        <v>1569.4743895624031</v>
      </c>
      <c r="O28" s="59">
        <f>(Barrowman!$J$5*Barrowman!$J$10+Barrowman!$J$6*Barrowman!$J$11+Barrowman!$J$7*Barrowman!$J$12+SUM(I28:K28))/(Barrowman!$J$5+Barrowman!$J$6+Barrowman!$J$7+SUM(E28:G28))</f>
        <v>1525.5424102932211</v>
      </c>
      <c r="P28" s="4"/>
      <c r="Q28" s="93">
        <f>(N28-Barrowman!$J$21)/Barrowman!$D$8</f>
        <v>0.78006951479421771</v>
      </c>
      <c r="R28" s="11">
        <f>(O28-Barrowman!$J$21)/Barrowman!$D$8</f>
        <v>0.56783773088512612</v>
      </c>
      <c r="S28" s="11">
        <f>(N28-Barrowman!$J$17)/Barrowman!$D$8</f>
        <v>0.24045598822416922</v>
      </c>
      <c r="T28" s="11">
        <f>(O28-Barrowman!$J$17)/Barrowman!$D$8</f>
        <v>2.8224204315077606E-2</v>
      </c>
      <c r="U28" s="11">
        <f>(N28-Barrowman!$J$25)/Barrowman!$D$8</f>
        <v>0.59407917662996657</v>
      </c>
      <c r="V28" s="94">
        <f>(O28-Barrowman!$J$25)/Barrowman!$D$8</f>
        <v>0.38184739272087492</v>
      </c>
    </row>
    <row r="29" spans="2:22">
      <c r="B29" s="17">
        <v>25</v>
      </c>
      <c r="C29" s="81">
        <f t="shared" si="0"/>
        <v>0.43633231299858238</v>
      </c>
      <c r="D29" s="18"/>
      <c r="E29" s="80">
        <f>4*Barrowman!$J$52*Barrowman!$I$59*'Plot Wind'!$C29/(PI()*Barrowman!$D$8^2)</f>
        <v>0.62488817319735201</v>
      </c>
      <c r="F29" s="34">
        <f>4*Barrowman!$J$52*Barrowman!$I$60*'Plot Wind'!$C29/(PI()*Barrowman!$D$8^2)</f>
        <v>6.0668276972624806</v>
      </c>
      <c r="G29" s="34">
        <f>4*Barrowman!$J$52*Barrowman!$I$61*'Plot Wind'!$C29/(PI()*Barrowman!$D$8^2)</f>
        <v>0.33753421792115801</v>
      </c>
      <c r="H29" s="81">
        <f>4*Barrowman!$J$52*Barrowman!$I$62*'Plot Wind'!$C29/(PI()*Barrowman!$D$8^2)</f>
        <v>1.7228458592317724</v>
      </c>
      <c r="I29" s="90">
        <f>E29*Barrowman!$J$59</f>
        <v>124.00124686884953</v>
      </c>
      <c r="J29" s="26">
        <f>F29*Barrowman!$J$60</f>
        <v>8159.8832528180365</v>
      </c>
      <c r="K29" s="26">
        <f>G29*Barrowman!$J$61</f>
        <v>467.26127540143108</v>
      </c>
      <c r="L29" s="91">
        <f>H29*Barrowman!$J$62</f>
        <v>3226.0288714114936</v>
      </c>
      <c r="M29" s="18"/>
      <c r="N29" s="90">
        <f>(Barrowman!$J$5*Barrowman!$J$10+Barrowman!$J$6*Barrowman!$J$11+Barrowman!$J$7*Barrowman!$J$12+SUM(I29:L29)+K29+L29)/(Barrowman!$J$5+Barrowman!$J$6+Barrowman!$J$7+SUM(E29:H29)+G29+H29)</f>
        <v>1567.437268980894</v>
      </c>
      <c r="O29" s="91">
        <f>(Barrowman!$J$5*Barrowman!$J$10+Barrowman!$J$6*Barrowman!$J$11+Barrowman!$J$7*Barrowman!$J$12+SUM(I29:K29))/(Barrowman!$J$5+Barrowman!$J$6+Barrowman!$J$7+SUM(E29:G29))</f>
        <v>1521.9122353839377</v>
      </c>
      <c r="P29" s="26"/>
      <c r="Q29" s="96">
        <f>(N29-Barrowman!$J$21)/Barrowman!$D$8</f>
        <v>0.77022835256470545</v>
      </c>
      <c r="R29" s="97">
        <f>(O29-Barrowman!$J$21)/Barrowman!$D$8</f>
        <v>0.55030065402868478</v>
      </c>
      <c r="S29" s="97">
        <f>(N29-Barrowman!$J$17)/Barrowman!$D$8</f>
        <v>0.23061482599465694</v>
      </c>
      <c r="T29" s="97">
        <f>(O29-Barrowman!$J$17)/Barrowman!$D$8</f>
        <v>1.068712745863621E-2</v>
      </c>
      <c r="U29" s="97">
        <f>(N29-Barrowman!$J$25)/Barrowman!$D$8</f>
        <v>0.58423801440045431</v>
      </c>
      <c r="V29" s="98">
        <f>(O29-Barrowman!$J$25)/Barrowman!$D$8</f>
        <v>0.36431031586443352</v>
      </c>
    </row>
    <row r="30" spans="2:22">
      <c r="B30" s="88">
        <v>26</v>
      </c>
      <c r="C30" s="101">
        <f t="shared" si="0"/>
        <v>0.45378560551852565</v>
      </c>
      <c r="D30" s="101"/>
      <c r="E30" s="101">
        <f>4*Barrowman!$J$52*Barrowman!$I$59*'Plot Wind'!$C30/(PI()*Barrowman!$D$8^2)</f>
        <v>0.6498837001252461</v>
      </c>
      <c r="F30" s="101">
        <f>4*Barrowman!$J$52*Barrowman!$I$60*'Plot Wind'!$C30/(PI()*Barrowman!$D$8^2)</f>
        <v>6.3095008051529788</v>
      </c>
      <c r="G30" s="101">
        <f>4*Barrowman!$J$52*Barrowman!$I$61*'Plot Wind'!$C30/(PI()*Barrowman!$D$8^2)</f>
        <v>0.35103558663800427</v>
      </c>
      <c r="H30" s="101">
        <f>4*Barrowman!$J$52*Barrowman!$I$62*'Plot Wind'!$C30/(PI()*Barrowman!$D$8^2)</f>
        <v>1.7917596936010431</v>
      </c>
      <c r="I30" s="105">
        <f>E30*Barrowman!$J$59</f>
        <v>128.96129674360353</v>
      </c>
      <c r="J30" s="105">
        <f>F30*Barrowman!$J$60</f>
        <v>8486.2785829307559</v>
      </c>
      <c r="K30" s="105">
        <f>G30*Barrowman!$J$61</f>
        <v>485.95172641748826</v>
      </c>
      <c r="L30" s="105">
        <f>H30*Barrowman!$J$62</f>
        <v>3355.0700262679534</v>
      </c>
      <c r="M30" s="101"/>
      <c r="N30" s="101">
        <f>(Barrowman!$J$5*Barrowman!$J$10+Barrowman!$J$6*Barrowman!$J$11+Barrowman!$J$7*Barrowman!$J$12+SUM(I30:L30)+K30+L30)/(Barrowman!$J$5+Barrowman!$J$6+Barrowman!$J$7+SUM(E30:H30)+G30+H30)</f>
        <v>1565.4680582414546</v>
      </c>
      <c r="O30" s="101">
        <f>(Barrowman!$J$5*Barrowman!$J$10+Barrowman!$J$6*Barrowman!$J$11+Barrowman!$J$7*Barrowman!$J$12+SUM(I30:K30))/(Barrowman!$J$5+Barrowman!$J$6+Barrowman!$J$7+SUM(E30:G30))</f>
        <v>1518.3747955636752</v>
      </c>
      <c r="P30" s="101"/>
      <c r="Q30" s="101">
        <f>(N30-Barrowman!$J$21)/Barrowman!$D$8</f>
        <v>0.76071525720509481</v>
      </c>
      <c r="R30" s="101">
        <f>(O30-Barrowman!$J$21)/Barrowman!$D$8</f>
        <v>0.53321157277137776</v>
      </c>
      <c r="S30" s="101">
        <f>(N30-Barrowman!$J$17)/Barrowman!$D$8</f>
        <v>0.22110173063504629</v>
      </c>
      <c r="T30" s="101">
        <f>(O30-Barrowman!$J$17)/Barrowman!$D$8</f>
        <v>-6.4019537986707183E-3</v>
      </c>
      <c r="U30" s="101">
        <f>(N30-Barrowman!$J$25)/Barrowman!$D$8</f>
        <v>0.57472491904084366</v>
      </c>
      <c r="V30" s="102">
        <f>(O30-Barrowman!$J$25)/Barrowman!$D$8</f>
        <v>0.34722123460712662</v>
      </c>
    </row>
    <row r="31" spans="2:22">
      <c r="B31" s="86">
        <v>27</v>
      </c>
      <c r="C31" s="11">
        <f t="shared" si="0"/>
        <v>0.47123889803846897</v>
      </c>
      <c r="D31" s="11"/>
      <c r="E31" s="11">
        <f>4*Barrowman!$J$52*Barrowman!$I$59*'Plot Wind'!$C31/(PI()*Barrowman!$D$8^2)</f>
        <v>0.67487922705314007</v>
      </c>
      <c r="F31" s="11">
        <f>4*Barrowman!$J$52*Barrowman!$I$60*'Plot Wind'!$C31/(PI()*Barrowman!$D$8^2)</f>
        <v>6.552173913043478</v>
      </c>
      <c r="G31" s="11">
        <f>4*Barrowman!$J$52*Barrowman!$I$61*'Plot Wind'!$C31/(PI()*Barrowman!$D$8^2)</f>
        <v>0.36453695535485064</v>
      </c>
      <c r="H31" s="11">
        <f>4*Barrowman!$J$52*Barrowman!$I$62*'Plot Wind'!$C31/(PI()*Barrowman!$D$8^2)</f>
        <v>1.8606735279703144</v>
      </c>
      <c r="I31" s="4">
        <f>E31*Barrowman!$J$59</f>
        <v>133.92134661835749</v>
      </c>
      <c r="J31" s="4">
        <f>F31*Barrowman!$J$60</f>
        <v>8812.673913043478</v>
      </c>
      <c r="K31" s="4">
        <f>G31*Barrowman!$J$61</f>
        <v>504.64217743354561</v>
      </c>
      <c r="L31" s="4">
        <f>H31*Barrowman!$J$62</f>
        <v>3484.1111811244136</v>
      </c>
      <c r="M31" s="11"/>
      <c r="N31" s="11">
        <f>(Barrowman!$J$5*Barrowman!$J$10+Barrowman!$J$6*Barrowman!$J$11+Barrowman!$J$7*Barrowman!$J$12+SUM(I31:L31)+K31+L31)/(Barrowman!$J$5+Barrowman!$J$6+Barrowman!$J$7+SUM(E31:H31)+G31+H31)</f>
        <v>1563.5634172340963</v>
      </c>
      <c r="O31" s="11">
        <f>(Barrowman!$J$5*Barrowman!$J$10+Barrowman!$J$6*Barrowman!$J$11+Barrowman!$J$7*Barrowman!$J$12+SUM(I31:K31))/(Barrowman!$J$5+Barrowman!$J$6+Barrowman!$J$7+SUM(E31:G31))</f>
        <v>1514.926582183952</v>
      </c>
      <c r="P31" s="11"/>
      <c r="Q31" s="11">
        <f>(N31-Barrowman!$J$21)/Barrowman!$D$8</f>
        <v>0.75151409291833948</v>
      </c>
      <c r="R31" s="11">
        <f>(O31-Barrowman!$J$21)/Barrowman!$D$8</f>
        <v>0.51655353712054086</v>
      </c>
      <c r="S31" s="11">
        <f>(N31-Barrowman!$J$17)/Barrowman!$D$8</f>
        <v>0.21190056634829096</v>
      </c>
      <c r="T31" s="11">
        <f>(O31-Barrowman!$J$17)/Barrowman!$D$8</f>
        <v>-2.3059989449507705E-2</v>
      </c>
      <c r="U31" s="11">
        <f>(N31-Barrowman!$J$25)/Barrowman!$D$8</f>
        <v>0.56552375475408834</v>
      </c>
      <c r="V31" s="94">
        <f>(O31-Barrowman!$J$25)/Barrowman!$D$8</f>
        <v>0.33056319895628961</v>
      </c>
    </row>
    <row r="32" spans="2:22">
      <c r="B32" s="86">
        <v>28</v>
      </c>
      <c r="C32" s="11">
        <f t="shared" si="0"/>
        <v>0.48869219055841229</v>
      </c>
      <c r="D32" s="11"/>
      <c r="E32" s="11">
        <f>4*Barrowman!$J$52*Barrowman!$I$59*'Plot Wind'!$C32/(PI()*Barrowman!$D$8^2)</f>
        <v>0.69987475398103427</v>
      </c>
      <c r="F32" s="11">
        <f>4*Barrowman!$J$52*Barrowman!$I$60*'Plot Wind'!$C32/(PI()*Barrowman!$D$8^2)</f>
        <v>6.794847020933978</v>
      </c>
      <c r="G32" s="11">
        <f>4*Barrowman!$J$52*Barrowman!$I$61*'Plot Wind'!$C32/(PI()*Barrowman!$D$8^2)</f>
        <v>0.37803832407169696</v>
      </c>
      <c r="H32" s="11">
        <f>4*Barrowman!$J$52*Barrowman!$I$62*'Plot Wind'!$C32/(PI()*Barrowman!$D$8^2)</f>
        <v>1.9295873623395854</v>
      </c>
      <c r="I32" s="4">
        <f>E32*Barrowman!$J$59</f>
        <v>138.88139649311148</v>
      </c>
      <c r="J32" s="4">
        <f>F32*Barrowman!$J$60</f>
        <v>9139.0692431562002</v>
      </c>
      <c r="K32" s="4">
        <f>G32*Barrowman!$J$61</f>
        <v>523.33262844960279</v>
      </c>
      <c r="L32" s="4">
        <f>H32*Barrowman!$J$62</f>
        <v>3613.1523359808734</v>
      </c>
      <c r="M32" s="11"/>
      <c r="N32" s="11">
        <f>(Barrowman!$J$5*Barrowman!$J$10+Barrowman!$J$6*Barrowman!$J$11+Barrowman!$J$7*Barrowman!$J$12+SUM(I32:L32)+K32+L32)/(Barrowman!$J$5+Barrowman!$J$6+Barrowman!$J$7+SUM(E32:H32)+G32+H32)</f>
        <v>1561.7202213576775</v>
      </c>
      <c r="O32" s="11">
        <f>(Barrowman!$J$5*Barrowman!$J$10+Barrowman!$J$6*Barrowman!$J$11+Barrowman!$J$7*Barrowman!$J$12+SUM(I32:K32))/(Barrowman!$J$5+Barrowman!$J$6+Barrowman!$J$7+SUM(E32:G32))</f>
        <v>1511.5642613922532</v>
      </c>
      <c r="P32" s="11"/>
      <c r="Q32" s="11">
        <f>(N32-Barrowman!$J$21)/Barrowman!$D$8</f>
        <v>0.74260976501293463</v>
      </c>
      <c r="R32" s="11">
        <f>(O32-Barrowman!$J$21)/Barrowman!$D$8</f>
        <v>0.50031044150846971</v>
      </c>
      <c r="S32" s="11">
        <f>(N32-Barrowman!$J$17)/Barrowman!$D$8</f>
        <v>0.20299623844288614</v>
      </c>
      <c r="T32" s="11">
        <f>(O32-Barrowman!$J$17)/Barrowman!$D$8</f>
        <v>-3.930308506157882E-2</v>
      </c>
      <c r="U32" s="11">
        <f>(N32-Barrowman!$J$25)/Barrowman!$D$8</f>
        <v>0.55661942684868349</v>
      </c>
      <c r="V32" s="94">
        <f>(O32-Barrowman!$J$25)/Barrowman!$D$8</f>
        <v>0.3143201033442185</v>
      </c>
    </row>
    <row r="33" spans="2:22">
      <c r="B33" s="86">
        <v>29</v>
      </c>
      <c r="C33" s="11">
        <f t="shared" si="0"/>
        <v>0.50614548307835561</v>
      </c>
      <c r="D33" s="11"/>
      <c r="E33" s="11">
        <f>4*Barrowman!$J$52*Barrowman!$I$59*'Plot Wind'!$C33/(PI()*Barrowman!$D$8^2)</f>
        <v>0.72487028090892835</v>
      </c>
      <c r="F33" s="11">
        <f>4*Barrowman!$J$52*Barrowman!$I$60*'Plot Wind'!$C33/(PI()*Barrowman!$D$8^2)</f>
        <v>7.0375201288244771</v>
      </c>
      <c r="G33" s="11">
        <f>4*Barrowman!$J$52*Barrowman!$I$61*'Plot Wind'!$C33/(PI()*Barrowman!$D$8^2)</f>
        <v>0.39153969278854328</v>
      </c>
      <c r="H33" s="11">
        <f>4*Barrowman!$J$52*Barrowman!$I$62*'Plot Wind'!$C33/(PI()*Barrowman!$D$8^2)</f>
        <v>1.9985011967088564</v>
      </c>
      <c r="I33" s="4">
        <f>E33*Barrowman!$J$59</f>
        <v>143.84144636786547</v>
      </c>
      <c r="J33" s="4">
        <f>F33*Barrowman!$J$60</f>
        <v>9465.4645732689223</v>
      </c>
      <c r="K33" s="4">
        <f>G33*Barrowman!$J$61</f>
        <v>542.02307946566009</v>
      </c>
      <c r="L33" s="4">
        <f>H33*Barrowman!$J$62</f>
        <v>3742.1934908373337</v>
      </c>
      <c r="M33" s="11"/>
      <c r="N33" s="11">
        <f>(Barrowman!$J$5*Barrowman!$J$10+Barrowman!$J$6*Barrowman!$J$11+Barrowman!$J$7*Barrowman!$J$12+SUM(I33:L33)+K33+L33)/(Barrowman!$J$5+Barrowman!$J$6+Barrowman!$J$7+SUM(E33:H33)+G33+H33)</f>
        <v>1559.9355444146345</v>
      </c>
      <c r="O33" s="11">
        <f>(Barrowman!$J$5*Barrowman!$J$10+Barrowman!$J$6*Barrowman!$J$11+Barrowman!$J$7*Barrowman!$J$12+SUM(I33:K33))/(Barrowman!$J$5+Barrowman!$J$6+Barrowman!$J$7+SUM(E33:G33))</f>
        <v>1508.2846633808208</v>
      </c>
      <c r="P33" s="11"/>
      <c r="Q33" s="11">
        <f>(N33-Barrowman!$J$21)/Barrowman!$D$8</f>
        <v>0.73398813726876555</v>
      </c>
      <c r="R33" s="11">
        <f>(O33-Barrowman!$J$21)/Barrowman!$D$8</f>
        <v>0.48446697285420676</v>
      </c>
      <c r="S33" s="11">
        <f>(N33-Barrowman!$J$17)/Barrowman!$D$8</f>
        <v>0.19437461069871706</v>
      </c>
      <c r="T33" s="11">
        <f>(O33-Barrowman!$J$17)/Barrowman!$D$8</f>
        <v>-5.5146553715841755E-2</v>
      </c>
      <c r="U33" s="11">
        <f>(N33-Barrowman!$J$25)/Barrowman!$D$8</f>
        <v>0.5479977991045144</v>
      </c>
      <c r="V33" s="94">
        <f>(O33-Barrowman!$J$25)/Barrowman!$D$8</f>
        <v>0.29847663468995556</v>
      </c>
    </row>
    <row r="34" spans="2:22">
      <c r="B34" s="87">
        <v>30</v>
      </c>
      <c r="C34" s="97">
        <f t="shared" si="0"/>
        <v>0.52359877559829882</v>
      </c>
      <c r="D34" s="97"/>
      <c r="E34" s="97">
        <f>4*Barrowman!$J$52*Barrowman!$I$59*'Plot Wind'!$C34/(PI()*Barrowman!$D$8^2)</f>
        <v>0.74986580783682233</v>
      </c>
      <c r="F34" s="97">
        <f>4*Barrowman!$J$52*Barrowman!$I$60*'Plot Wind'!$C34/(PI()*Barrowman!$D$8^2)</f>
        <v>7.2801932367149762</v>
      </c>
      <c r="G34" s="97">
        <f>4*Barrowman!$J$52*Barrowman!$I$61*'Plot Wind'!$C34/(PI()*Barrowman!$D$8^2)</f>
        <v>0.40504106150538954</v>
      </c>
      <c r="H34" s="97">
        <f>4*Barrowman!$J$52*Barrowman!$I$62*'Plot Wind'!$C34/(PI()*Barrowman!$D$8^2)</f>
        <v>2.0674150310781267</v>
      </c>
      <c r="I34" s="26">
        <f>E34*Barrowman!$J$59</f>
        <v>148.80149624261944</v>
      </c>
      <c r="J34" s="26">
        <f>F34*Barrowman!$J$60</f>
        <v>9791.8599033816427</v>
      </c>
      <c r="K34" s="26">
        <f>G34*Barrowman!$J$61</f>
        <v>560.71353048171727</v>
      </c>
      <c r="L34" s="26">
        <f>H34*Barrowman!$J$62</f>
        <v>3871.2346456937921</v>
      </c>
      <c r="M34" s="97"/>
      <c r="N34" s="97">
        <f>(Barrowman!$J$5*Barrowman!$J$10+Barrowman!$J$6*Barrowman!$J$11+Barrowman!$J$7*Barrowman!$J$12+SUM(I34:L34)+K34+L34)/(Barrowman!$J$5+Barrowman!$J$6+Barrowman!$J$7+SUM(E34:H34)+G34+H34)</f>
        <v>1558.2066431094509</v>
      </c>
      <c r="O34" s="97">
        <f>(Barrowman!$J$5*Barrowman!$J$10+Barrowman!$J$6*Barrowman!$J$11+Barrowman!$J$7*Barrowman!$J$12+SUM(I34:K34))/(Barrowman!$J$5+Barrowman!$J$6+Barrowman!$J$7+SUM(E34:G34))</f>
        <v>1505.0847724193331</v>
      </c>
      <c r="P34" s="97"/>
      <c r="Q34" s="97">
        <f>(N34-Barrowman!$J$21)/Barrowman!$D$8</f>
        <v>0.72563595705048722</v>
      </c>
      <c r="R34" s="97">
        <f>(O34-Barrowman!$J$21)/Barrowman!$D$8</f>
        <v>0.46900856241223743</v>
      </c>
      <c r="S34" s="97">
        <f>(N34-Barrowman!$J$17)/Barrowman!$D$8</f>
        <v>0.18602243048043868</v>
      </c>
      <c r="T34" s="97">
        <f>(O34-Barrowman!$J$17)/Barrowman!$D$8</f>
        <v>-7.060496415781109E-2</v>
      </c>
      <c r="U34" s="97">
        <f>(N34-Barrowman!$J$25)/Barrowman!$D$8</f>
        <v>0.53964561888623597</v>
      </c>
      <c r="V34" s="98">
        <f>(O34-Barrowman!$J$25)/Barrowman!$D$8</f>
        <v>0.28301822424798623</v>
      </c>
    </row>
  </sheetData>
  <mergeCells count="3">
    <mergeCell ref="E2:H2"/>
    <mergeCell ref="I2:L2"/>
    <mergeCell ref="N2:O2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35" sqref="E35"/>
    </sheetView>
  </sheetViews>
  <sheetFormatPr baseColWidth="10" defaultRowHeight="14" x14ac:dyDescent="0"/>
  <cols>
    <col min="1" max="1" width="5.5" customWidth="1"/>
  </cols>
  <sheetData>
    <row r="1" spans="1:8">
      <c r="A1" t="s">
        <v>140</v>
      </c>
    </row>
    <row r="3" spans="1:8">
      <c r="A3" t="s">
        <v>151</v>
      </c>
    </row>
    <row r="9" spans="1:8">
      <c r="A9" t="s">
        <v>153</v>
      </c>
    </row>
    <row r="15" spans="1:8">
      <c r="A15" t="s">
        <v>152</v>
      </c>
    </row>
    <row r="16" spans="1:8"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147</v>
      </c>
    </row>
    <row r="17" spans="1:8">
      <c r="A17">
        <v>1</v>
      </c>
      <c r="B17">
        <f>Barrowman!$D$7/1000</f>
        <v>0.10349999999999999</v>
      </c>
      <c r="C17">
        <f>Barrowman!$D$21/1000</f>
        <v>0.16</v>
      </c>
      <c r="D17" s="68">
        <f>Barrowman!$D$68/1000</f>
        <v>2.0924999999999998</v>
      </c>
      <c r="E17">
        <f>Barrowman!$D$33/2000</f>
        <v>1.5E-3</v>
      </c>
      <c r="F17">
        <f>Barrowman!$D$74/1000</f>
        <v>2E-3</v>
      </c>
      <c r="G17">
        <f>C17-F17-Barrowman!$D$75/1000</f>
        <v>0.156</v>
      </c>
      <c r="H17">
        <v>2E-3</v>
      </c>
    </row>
    <row r="18" spans="1:8">
      <c r="A18">
        <v>2</v>
      </c>
      <c r="B18">
        <f>B17+Barrowman!$D$20/1000</f>
        <v>0.3115</v>
      </c>
      <c r="C18" s="68">
        <f>Barrowman!$D$22/1000</f>
        <v>0.23</v>
      </c>
      <c r="D18" s="68">
        <f>(Barrowman!$D$68+Barrowman!$D$23)/1000</f>
        <v>2.0924999999999998</v>
      </c>
      <c r="E18">
        <f>Barrowman!$D$33/2000</f>
        <v>1.5E-3</v>
      </c>
      <c r="F18">
        <f>Barrowman!$D$74/1000</f>
        <v>2E-3</v>
      </c>
      <c r="G18">
        <f>C18-F18-Barrowman!$D$75/1000</f>
        <v>0.22600000000000001</v>
      </c>
      <c r="H18">
        <v>2E-3</v>
      </c>
    </row>
    <row r="20" spans="1:8">
      <c r="A20" t="s">
        <v>154</v>
      </c>
    </row>
    <row r="21" spans="1:8">
      <c r="B21" t="s">
        <v>155</v>
      </c>
      <c r="C21">
        <v>2</v>
      </c>
    </row>
    <row r="23" spans="1:8">
      <c r="B23" t="s">
        <v>156</v>
      </c>
      <c r="C23" s="69">
        <f>Barrowman!D49/1000</f>
        <v>1.2374000000000001</v>
      </c>
    </row>
    <row r="25" spans="1:8">
      <c r="B25" t="s">
        <v>157</v>
      </c>
      <c r="C25" t="s">
        <v>158</v>
      </c>
      <c r="D25" t="s">
        <v>159</v>
      </c>
      <c r="E25" t="s">
        <v>160</v>
      </c>
      <c r="F25" t="s">
        <v>161</v>
      </c>
    </row>
    <row r="26" spans="1:8">
      <c r="B26">
        <v>1</v>
      </c>
      <c r="C26">
        <f>Barrowman!D43/1000</f>
        <v>0.8</v>
      </c>
      <c r="D26">
        <f>Barrowman!D44/1000</f>
        <v>0.151</v>
      </c>
      <c r="E26">
        <f>D26</f>
        <v>0.151</v>
      </c>
      <c r="F26">
        <v>0</v>
      </c>
    </row>
    <row r="28" spans="1:8">
      <c r="A28" t="s">
        <v>163</v>
      </c>
    </row>
    <row r="29" spans="1:8">
      <c r="B29" t="s">
        <v>156</v>
      </c>
      <c r="C29" s="69">
        <f>(Barrowman!D45+Barrowman!D43/2)/1000</f>
        <v>1.8725000000000001</v>
      </c>
    </row>
    <row r="30" spans="1:8">
      <c r="B30" t="s">
        <v>157</v>
      </c>
      <c r="C30" t="s">
        <v>158</v>
      </c>
      <c r="D30" t="s">
        <v>159</v>
      </c>
      <c r="E30" t="s">
        <v>160</v>
      </c>
      <c r="F30" t="s">
        <v>161</v>
      </c>
    </row>
    <row r="31" spans="1:8">
      <c r="B31">
        <v>1</v>
      </c>
      <c r="C31">
        <f>Barrowman!D43/1000</f>
        <v>0.8</v>
      </c>
      <c r="D31">
        <f>Barrowman!D44/1000</f>
        <v>0.151</v>
      </c>
      <c r="E31">
        <f>Barrowman!D44/1000</f>
        <v>0.151</v>
      </c>
      <c r="F31">
        <v>0</v>
      </c>
    </row>
    <row r="32" spans="1:8">
      <c r="B32" t="s">
        <v>156</v>
      </c>
      <c r="C32" s="69">
        <f>(Barrowman!D49+Barrowman!D50)/1000</f>
        <v>1.4724999999999999</v>
      </c>
    </row>
    <row r="33" spans="1:8">
      <c r="B33" t="s">
        <v>157</v>
      </c>
      <c r="C33" t="s">
        <v>158</v>
      </c>
      <c r="D33" t="s">
        <v>159</v>
      </c>
      <c r="E33" t="s">
        <v>160</v>
      </c>
      <c r="F33" t="s">
        <v>161</v>
      </c>
    </row>
    <row r="34" spans="1:8">
      <c r="B34">
        <v>2</v>
      </c>
      <c r="C34">
        <f>Barrowman!D50/500</f>
        <v>0.47019999999999984</v>
      </c>
      <c r="D34">
        <f>D31</f>
        <v>0.151</v>
      </c>
      <c r="E34">
        <f>E31</f>
        <v>0.151</v>
      </c>
    </row>
    <row r="37" spans="1:8">
      <c r="A37" t="s">
        <v>162</v>
      </c>
    </row>
    <row r="38" spans="1:8">
      <c r="B38" t="s">
        <v>141</v>
      </c>
      <c r="C38" t="s">
        <v>142</v>
      </c>
      <c r="D38" t="s">
        <v>143</v>
      </c>
      <c r="E38" t="s">
        <v>144</v>
      </c>
      <c r="F38" t="s">
        <v>145</v>
      </c>
      <c r="G38" t="s">
        <v>146</v>
      </c>
      <c r="H38" t="s">
        <v>147</v>
      </c>
    </row>
    <row r="39" spans="1:8">
      <c r="A39">
        <v>1</v>
      </c>
      <c r="B39">
        <v>0.10349999999999999</v>
      </c>
      <c r="C39">
        <v>0.16</v>
      </c>
      <c r="D39">
        <v>2.0724999999999998</v>
      </c>
      <c r="E39">
        <v>1.6000000000000001E-3</v>
      </c>
      <c r="F39">
        <v>2E-3</v>
      </c>
      <c r="G39">
        <v>0.156</v>
      </c>
      <c r="H39">
        <v>2E-3</v>
      </c>
    </row>
    <row r="40" spans="1:8">
      <c r="A40">
        <v>2</v>
      </c>
      <c r="B40">
        <f>B39+0.05</f>
        <v>0.1535</v>
      </c>
      <c r="C40">
        <f>C39</f>
        <v>0.16</v>
      </c>
      <c r="D40">
        <v>2.0724999999999998</v>
      </c>
      <c r="E40">
        <v>1.6000000000000001E-3</v>
      </c>
      <c r="F40">
        <v>2E-3</v>
      </c>
      <c r="G40">
        <f>G39</f>
        <v>0.156</v>
      </c>
      <c r="H40">
        <v>2E-3</v>
      </c>
    </row>
    <row r="41" spans="1:8">
      <c r="A41">
        <v>3</v>
      </c>
      <c r="B41">
        <f>B42-0.05</f>
        <v>0.26150000000000001</v>
      </c>
      <c r="C41">
        <f>C42</f>
        <v>0.23</v>
      </c>
      <c r="D41">
        <v>2.0724999999999998</v>
      </c>
      <c r="E41">
        <v>1.6000000000000001E-3</v>
      </c>
      <c r="F41">
        <v>2E-3</v>
      </c>
      <c r="G41">
        <f>G42</f>
        <v>0.22600000000000001</v>
      </c>
      <c r="H41">
        <v>2E-3</v>
      </c>
    </row>
    <row r="42" spans="1:8">
      <c r="A42">
        <v>4</v>
      </c>
      <c r="B42">
        <v>0.3115</v>
      </c>
      <c r="C42">
        <v>0.23</v>
      </c>
      <c r="D42">
        <v>2.0724999999999998</v>
      </c>
      <c r="E42">
        <v>1.6000000000000001E-3</v>
      </c>
      <c r="F42">
        <v>2E-3</v>
      </c>
      <c r="G42">
        <v>0.22600000000000001</v>
      </c>
      <c r="H42">
        <v>2E-3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Barrowman</vt:lpstr>
      <vt:lpstr>Plot Wind</vt:lpstr>
      <vt:lpstr>MD-Daten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Carola Maurer</cp:lastModifiedBy>
  <cp:lastPrinted>2017-03-28T22:50:13Z</cp:lastPrinted>
  <dcterms:created xsi:type="dcterms:W3CDTF">2017-03-11T09:44:36Z</dcterms:created>
  <dcterms:modified xsi:type="dcterms:W3CDTF">2019-03-14T12:06:55Z</dcterms:modified>
</cp:coreProperties>
</file>