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uckeyemailosu-my.sharepoint.com/personal/north_154_buckeyemail_osu_edu/Documents/Desktop/Current Work/Papers/Ocean ML Paper/GitHub Upload/"/>
    </mc:Choice>
  </mc:AlternateContent>
  <xr:revisionPtr revIDLastSave="495" documentId="13_ncr:1_{E9AB3E1C-8579-4054-802A-6CD47FF23B62}" xr6:coauthVersionLast="47" xr6:coauthVersionMax="47" xr10:uidLastSave="{D302A5B2-B2E0-4FBF-9918-5B64D189BEF5}"/>
  <bookViews>
    <workbookView xWindow="-28920" yWindow="-2730" windowWidth="29040" windowHeight="15840" activeTab="3" xr2:uid="{72A3F83C-0DEF-4F12-AC14-A9CF1E469FCF}"/>
  </bookViews>
  <sheets>
    <sheet name="Calibration Curves" sheetId="1" r:id="rId1"/>
    <sheet name="General Plan" sheetId="2" r:id="rId2"/>
    <sheet name="Sample Preparation V and C" sheetId="3" r:id="rId3"/>
    <sheet name="Field Samples V and C" sheetId="4" r:id="rId4"/>
    <sheet name="Field Dillution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6" i="2"/>
  <c r="AN29" i="3"/>
  <c r="AP16" i="3"/>
  <c r="AX29" i="4"/>
  <c r="W13" i="2"/>
  <c r="X13" i="2"/>
  <c r="W12" i="2"/>
  <c r="X12" i="2"/>
  <c r="V13" i="2"/>
  <c r="V12" i="2"/>
  <c r="X25" i="5"/>
  <c r="P21" i="5"/>
  <c r="Q21" i="5"/>
  <c r="R21" i="5"/>
  <c r="S21" i="5"/>
  <c r="T21" i="5"/>
  <c r="U21" i="5"/>
  <c r="V21" i="5"/>
  <c r="W21" i="5"/>
  <c r="X21" i="5"/>
  <c r="P22" i="5"/>
  <c r="Q22" i="5"/>
  <c r="R22" i="5"/>
  <c r="S22" i="5"/>
  <c r="T22" i="5"/>
  <c r="U22" i="5"/>
  <c r="V22" i="5"/>
  <c r="W22" i="5"/>
  <c r="X22" i="5"/>
  <c r="P23" i="5"/>
  <c r="Q23" i="5"/>
  <c r="R23" i="5"/>
  <c r="S23" i="5"/>
  <c r="T23" i="5"/>
  <c r="U23" i="5"/>
  <c r="V23" i="5"/>
  <c r="W23" i="5"/>
  <c r="X23" i="5"/>
  <c r="P24" i="5"/>
  <c r="Q24" i="5"/>
  <c r="R24" i="5"/>
  <c r="S24" i="5"/>
  <c r="T24" i="5"/>
  <c r="U24" i="5"/>
  <c r="V24" i="5"/>
  <c r="W24" i="5"/>
  <c r="X24" i="5"/>
  <c r="P25" i="5"/>
  <c r="Q25" i="5"/>
  <c r="R25" i="5"/>
  <c r="S25" i="5"/>
  <c r="T25" i="5"/>
  <c r="U25" i="5"/>
  <c r="V25" i="5"/>
  <c r="W25" i="5"/>
  <c r="O21" i="5"/>
  <c r="O22" i="5"/>
  <c r="O23" i="5"/>
  <c r="O24" i="5"/>
  <c r="O25" i="5"/>
  <c r="AW32" i="3"/>
  <c r="S12" i="5"/>
  <c r="O12" i="5"/>
  <c r="P12" i="5"/>
  <c r="Q12" i="5"/>
  <c r="R12" i="5"/>
  <c r="T12" i="5"/>
  <c r="U12" i="5"/>
  <c r="V12" i="5"/>
  <c r="W12" i="5"/>
  <c r="X12" i="5"/>
  <c r="O13" i="5"/>
  <c r="P13" i="5"/>
  <c r="Q13" i="5"/>
  <c r="R13" i="5"/>
  <c r="S13" i="5"/>
  <c r="T13" i="5"/>
  <c r="U13" i="5"/>
  <c r="V13" i="5"/>
  <c r="W13" i="5"/>
  <c r="X13" i="5"/>
  <c r="O14" i="5"/>
  <c r="P14" i="5"/>
  <c r="Q14" i="5"/>
  <c r="R14" i="5"/>
  <c r="S14" i="5"/>
  <c r="T14" i="5"/>
  <c r="U14" i="5"/>
  <c r="V14" i="5"/>
  <c r="W14" i="5"/>
  <c r="X14" i="5"/>
  <c r="O15" i="5"/>
  <c r="P15" i="5"/>
  <c r="Q15" i="5"/>
  <c r="R15" i="5"/>
  <c r="S15" i="5"/>
  <c r="T15" i="5"/>
  <c r="U15" i="5"/>
  <c r="V15" i="5"/>
  <c r="W15" i="5"/>
  <c r="X15" i="5"/>
  <c r="P16" i="5"/>
  <c r="Q16" i="5"/>
  <c r="R16" i="5"/>
  <c r="S16" i="5"/>
  <c r="T16" i="5"/>
  <c r="U16" i="5"/>
  <c r="V16" i="5"/>
  <c r="W16" i="5"/>
  <c r="X16" i="5"/>
  <c r="O16" i="5"/>
  <c r="X3" i="5"/>
  <c r="X4" i="5"/>
  <c r="X5" i="5"/>
  <c r="X6" i="5"/>
  <c r="W3" i="5"/>
  <c r="W4" i="5"/>
  <c r="W5" i="5"/>
  <c r="W6" i="5"/>
  <c r="V3" i="5"/>
  <c r="V4" i="5"/>
  <c r="V5" i="5"/>
  <c r="V6" i="5"/>
  <c r="U3" i="5"/>
  <c r="U4" i="5"/>
  <c r="U5" i="5"/>
  <c r="U6" i="5"/>
  <c r="T3" i="5"/>
  <c r="T4" i="5"/>
  <c r="T5" i="5"/>
  <c r="T6" i="5"/>
  <c r="S3" i="5"/>
  <c r="S4" i="5"/>
  <c r="S5" i="5"/>
  <c r="S6" i="5"/>
  <c r="R3" i="5"/>
  <c r="R4" i="5"/>
  <c r="R5" i="5"/>
  <c r="R6" i="5"/>
  <c r="Q3" i="5"/>
  <c r="Q4" i="5"/>
  <c r="Q5" i="5"/>
  <c r="Q6" i="5"/>
  <c r="P3" i="5"/>
  <c r="P4" i="5"/>
  <c r="P5" i="5"/>
  <c r="P6" i="5"/>
  <c r="X7" i="5"/>
  <c r="P7" i="5"/>
  <c r="Q7" i="5"/>
  <c r="R7" i="5"/>
  <c r="S7" i="5"/>
  <c r="T7" i="5"/>
  <c r="U7" i="5"/>
  <c r="V7" i="5"/>
  <c r="W7" i="5"/>
  <c r="O3" i="5"/>
  <c r="O4" i="5"/>
  <c r="O5" i="5"/>
  <c r="O6" i="5"/>
  <c r="O7" i="5"/>
  <c r="AJ11" i="4"/>
  <c r="AX33" i="4"/>
  <c r="AY33" i="4"/>
  <c r="AZ33" i="4"/>
  <c r="BA33" i="4"/>
  <c r="BB33" i="4"/>
  <c r="BC33" i="4"/>
  <c r="BD33" i="4"/>
  <c r="BE33" i="4"/>
  <c r="BF33" i="4"/>
  <c r="BG33" i="4"/>
  <c r="AX34" i="4"/>
  <c r="AY34" i="4"/>
  <c r="AZ34" i="4"/>
  <c r="BA34" i="4"/>
  <c r="BB34" i="4"/>
  <c r="BC34" i="4"/>
  <c r="BD34" i="4"/>
  <c r="BE34" i="4"/>
  <c r="BF34" i="4"/>
  <c r="BG34" i="4"/>
  <c r="AX35" i="4"/>
  <c r="AY35" i="4"/>
  <c r="AZ35" i="4"/>
  <c r="BA35" i="4"/>
  <c r="BB35" i="4"/>
  <c r="BC35" i="4"/>
  <c r="BD35" i="4"/>
  <c r="BE35" i="4"/>
  <c r="BF35" i="4"/>
  <c r="BG35" i="4"/>
  <c r="AX36" i="4"/>
  <c r="AY36" i="4"/>
  <c r="AZ36" i="4"/>
  <c r="BA36" i="4"/>
  <c r="BB36" i="4"/>
  <c r="BC36" i="4"/>
  <c r="BD36" i="4"/>
  <c r="BE36" i="4"/>
  <c r="BF36" i="4"/>
  <c r="BG36" i="4"/>
  <c r="AY32" i="4"/>
  <c r="AZ32" i="4"/>
  <c r="BA32" i="4"/>
  <c r="BB32" i="4"/>
  <c r="BC32" i="4"/>
  <c r="BD32" i="4"/>
  <c r="BE32" i="4"/>
  <c r="BF32" i="4"/>
  <c r="BG32" i="4"/>
  <c r="AX32" i="4"/>
  <c r="AX26" i="4"/>
  <c r="AY26" i="4"/>
  <c r="AZ26" i="4"/>
  <c r="BA26" i="4"/>
  <c r="BB26" i="4"/>
  <c r="BC26" i="4"/>
  <c r="BD26" i="4"/>
  <c r="BE26" i="4"/>
  <c r="BF26" i="4"/>
  <c r="BG26" i="4"/>
  <c r="AX27" i="4"/>
  <c r="AY27" i="4"/>
  <c r="AZ27" i="4"/>
  <c r="BA27" i="4"/>
  <c r="BB27" i="4"/>
  <c r="BC27" i="4"/>
  <c r="BD27" i="4"/>
  <c r="BE27" i="4"/>
  <c r="BF27" i="4"/>
  <c r="BG27" i="4"/>
  <c r="AX28" i="4"/>
  <c r="AY28" i="4"/>
  <c r="AZ28" i="4"/>
  <c r="BA28" i="4"/>
  <c r="BB28" i="4"/>
  <c r="BC28" i="4"/>
  <c r="BD28" i="4"/>
  <c r="BE28" i="4"/>
  <c r="BF28" i="4"/>
  <c r="BG28" i="4"/>
  <c r="AY29" i="4"/>
  <c r="AZ29" i="4"/>
  <c r="BA29" i="4"/>
  <c r="BB29" i="4"/>
  <c r="BC29" i="4"/>
  <c r="BD29" i="4"/>
  <c r="BE29" i="4"/>
  <c r="BF29" i="4"/>
  <c r="BG29" i="4"/>
  <c r="AY25" i="4"/>
  <c r="AZ25" i="4"/>
  <c r="BA25" i="4"/>
  <c r="BB25" i="4"/>
  <c r="BC25" i="4"/>
  <c r="BD25" i="4"/>
  <c r="BE25" i="4"/>
  <c r="BF25" i="4"/>
  <c r="BG25" i="4"/>
  <c r="AX25" i="4"/>
  <c r="AX19" i="4"/>
  <c r="AY19" i="4"/>
  <c r="AZ19" i="4"/>
  <c r="BA19" i="4"/>
  <c r="BB19" i="4"/>
  <c r="BC19" i="4"/>
  <c r="BD19" i="4"/>
  <c r="BE19" i="4"/>
  <c r="BF19" i="4"/>
  <c r="BG19" i="4"/>
  <c r="AX20" i="4"/>
  <c r="AY20" i="4"/>
  <c r="AZ20" i="4"/>
  <c r="BA20" i="4"/>
  <c r="BB20" i="4"/>
  <c r="BC20" i="4"/>
  <c r="BD20" i="4"/>
  <c r="BE20" i="4"/>
  <c r="BF20" i="4"/>
  <c r="BG20" i="4"/>
  <c r="AX21" i="4"/>
  <c r="AY21" i="4"/>
  <c r="AZ21" i="4"/>
  <c r="BA21" i="4"/>
  <c r="BB21" i="4"/>
  <c r="BC21" i="4"/>
  <c r="BD21" i="4"/>
  <c r="BE21" i="4"/>
  <c r="BF21" i="4"/>
  <c r="BG21" i="4"/>
  <c r="AX22" i="4"/>
  <c r="AY22" i="4"/>
  <c r="AZ22" i="4"/>
  <c r="BA22" i="4"/>
  <c r="BB22" i="4"/>
  <c r="BC22" i="4"/>
  <c r="BD22" i="4"/>
  <c r="BE22" i="4"/>
  <c r="BF22" i="4"/>
  <c r="BG22" i="4"/>
  <c r="AY18" i="4"/>
  <c r="AZ18" i="4"/>
  <c r="BA18" i="4"/>
  <c r="BB18" i="4"/>
  <c r="BC18" i="4"/>
  <c r="BD18" i="4"/>
  <c r="BE18" i="4"/>
  <c r="BF18" i="4"/>
  <c r="BG18" i="4"/>
  <c r="AX18" i="4"/>
  <c r="AX12" i="4"/>
  <c r="AY12" i="4"/>
  <c r="AZ12" i="4"/>
  <c r="BA12" i="4"/>
  <c r="BB12" i="4"/>
  <c r="BC12" i="4"/>
  <c r="BD12" i="4"/>
  <c r="BE12" i="4"/>
  <c r="BF12" i="4"/>
  <c r="BG12" i="4"/>
  <c r="AX13" i="4"/>
  <c r="AY13" i="4"/>
  <c r="AZ13" i="4"/>
  <c r="BA13" i="4"/>
  <c r="BB13" i="4"/>
  <c r="BC13" i="4"/>
  <c r="BD13" i="4"/>
  <c r="BE13" i="4"/>
  <c r="BF13" i="4"/>
  <c r="BG13" i="4"/>
  <c r="AX14" i="4"/>
  <c r="AY14" i="4"/>
  <c r="AZ14" i="4"/>
  <c r="BA14" i="4"/>
  <c r="BB14" i="4"/>
  <c r="BC14" i="4"/>
  <c r="BD14" i="4"/>
  <c r="BE14" i="4"/>
  <c r="BF14" i="4"/>
  <c r="BG14" i="4"/>
  <c r="AX15" i="4"/>
  <c r="AY15" i="4"/>
  <c r="AZ15" i="4"/>
  <c r="BA15" i="4"/>
  <c r="BB15" i="4"/>
  <c r="BC15" i="4"/>
  <c r="BD15" i="4"/>
  <c r="BE15" i="4"/>
  <c r="BF15" i="4"/>
  <c r="BG15" i="4"/>
  <c r="AY11" i="4"/>
  <c r="AZ11" i="4"/>
  <c r="BA11" i="4"/>
  <c r="BB11" i="4"/>
  <c r="BC11" i="4"/>
  <c r="BD11" i="4"/>
  <c r="BE11" i="4"/>
  <c r="BF11" i="4"/>
  <c r="BG11" i="4"/>
  <c r="AX11" i="4"/>
  <c r="AB33" i="4"/>
  <c r="AC33" i="4"/>
  <c r="AD33" i="4"/>
  <c r="AE33" i="4"/>
  <c r="AF33" i="4"/>
  <c r="AG33" i="4"/>
  <c r="AH33" i="4"/>
  <c r="AI33" i="4"/>
  <c r="AJ33" i="4"/>
  <c r="AK33" i="4"/>
  <c r="AB34" i="4"/>
  <c r="AC34" i="4"/>
  <c r="AD34" i="4"/>
  <c r="AE34" i="4"/>
  <c r="AF34" i="4"/>
  <c r="AG34" i="4"/>
  <c r="AH34" i="4"/>
  <c r="AI34" i="4"/>
  <c r="AJ34" i="4"/>
  <c r="AK34" i="4"/>
  <c r="AB35" i="4"/>
  <c r="AC35" i="4"/>
  <c r="AD35" i="4"/>
  <c r="AE35" i="4"/>
  <c r="AF35" i="4"/>
  <c r="AG35" i="4"/>
  <c r="AH35" i="4"/>
  <c r="AI35" i="4"/>
  <c r="AJ35" i="4"/>
  <c r="AK35" i="4"/>
  <c r="AB36" i="4"/>
  <c r="AC36" i="4"/>
  <c r="AD36" i="4"/>
  <c r="AE36" i="4"/>
  <c r="AF36" i="4"/>
  <c r="AG36" i="4"/>
  <c r="AH36" i="4"/>
  <c r="AI36" i="4"/>
  <c r="AJ36" i="4"/>
  <c r="AK36" i="4"/>
  <c r="AC32" i="4"/>
  <c r="AD32" i="4"/>
  <c r="AE32" i="4"/>
  <c r="AF32" i="4"/>
  <c r="AG32" i="4"/>
  <c r="AH32" i="4"/>
  <c r="AI32" i="4"/>
  <c r="AJ32" i="4"/>
  <c r="AK32" i="4"/>
  <c r="AB26" i="4"/>
  <c r="AC26" i="4"/>
  <c r="AD26" i="4"/>
  <c r="AE26" i="4"/>
  <c r="AF26" i="4"/>
  <c r="AG26" i="4"/>
  <c r="AH26" i="4"/>
  <c r="AI26" i="4"/>
  <c r="AJ26" i="4"/>
  <c r="AK26" i="4"/>
  <c r="AB27" i="4"/>
  <c r="AC27" i="4"/>
  <c r="AD27" i="4"/>
  <c r="AE27" i="4"/>
  <c r="AF27" i="4"/>
  <c r="AG27" i="4"/>
  <c r="AH27" i="4"/>
  <c r="AI27" i="4"/>
  <c r="AJ27" i="4"/>
  <c r="AK27" i="4"/>
  <c r="AB28" i="4"/>
  <c r="AC28" i="4"/>
  <c r="AD28" i="4"/>
  <c r="AE28" i="4"/>
  <c r="AF28" i="4"/>
  <c r="AG28" i="4"/>
  <c r="AH28" i="4"/>
  <c r="AI28" i="4"/>
  <c r="AJ28" i="4"/>
  <c r="AK28" i="4"/>
  <c r="AB29" i="4"/>
  <c r="AC29" i="4"/>
  <c r="AD29" i="4"/>
  <c r="AE29" i="4"/>
  <c r="AF29" i="4"/>
  <c r="AG29" i="4"/>
  <c r="AH29" i="4"/>
  <c r="AI29" i="4"/>
  <c r="AJ29" i="4"/>
  <c r="AK29" i="4"/>
  <c r="AC25" i="4"/>
  <c r="AD25" i="4"/>
  <c r="AE25" i="4"/>
  <c r="AF25" i="4"/>
  <c r="AG25" i="4"/>
  <c r="AH25" i="4"/>
  <c r="AI25" i="4"/>
  <c r="AJ25" i="4"/>
  <c r="AK25" i="4"/>
  <c r="AB11" i="4"/>
  <c r="AB19" i="4"/>
  <c r="AC19" i="4"/>
  <c r="AD19" i="4"/>
  <c r="AE19" i="4"/>
  <c r="AF19" i="4"/>
  <c r="AG19" i="4"/>
  <c r="AH19" i="4"/>
  <c r="AI19" i="4"/>
  <c r="AJ19" i="4"/>
  <c r="AK19" i="4"/>
  <c r="AB20" i="4"/>
  <c r="AC20" i="4"/>
  <c r="AD20" i="4"/>
  <c r="AE20" i="4"/>
  <c r="AF20" i="4"/>
  <c r="AG20" i="4"/>
  <c r="AH20" i="4"/>
  <c r="AI20" i="4"/>
  <c r="AJ20" i="4"/>
  <c r="AK20" i="4"/>
  <c r="AB21" i="4"/>
  <c r="AC21" i="4"/>
  <c r="AD21" i="4"/>
  <c r="AE21" i="4"/>
  <c r="AF21" i="4"/>
  <c r="AG21" i="4"/>
  <c r="AH21" i="4"/>
  <c r="AI21" i="4"/>
  <c r="AJ21" i="4"/>
  <c r="AK21" i="4"/>
  <c r="AB22" i="4"/>
  <c r="AC22" i="4"/>
  <c r="AD22" i="4"/>
  <c r="AE22" i="4"/>
  <c r="AF22" i="4"/>
  <c r="AG22" i="4"/>
  <c r="AH22" i="4"/>
  <c r="AI22" i="4"/>
  <c r="AJ22" i="4"/>
  <c r="AK22" i="4"/>
  <c r="AC18" i="4"/>
  <c r="AD18" i="4"/>
  <c r="AE18" i="4"/>
  <c r="AF18" i="4"/>
  <c r="AG18" i="4"/>
  <c r="AH18" i="4"/>
  <c r="AI18" i="4"/>
  <c r="AJ18" i="4"/>
  <c r="AK18" i="4"/>
  <c r="AB12" i="4"/>
  <c r="AC12" i="4"/>
  <c r="AD12" i="4"/>
  <c r="AE12" i="4"/>
  <c r="AF12" i="4"/>
  <c r="AG12" i="4"/>
  <c r="AH12" i="4"/>
  <c r="AI12" i="4"/>
  <c r="AJ12" i="4"/>
  <c r="AK12" i="4"/>
  <c r="AB13" i="4"/>
  <c r="AC13" i="4"/>
  <c r="AD13" i="4"/>
  <c r="AE13" i="4"/>
  <c r="AF13" i="4"/>
  <c r="AG13" i="4"/>
  <c r="AH13" i="4"/>
  <c r="AI13" i="4"/>
  <c r="AJ13" i="4"/>
  <c r="AK13" i="4"/>
  <c r="AB14" i="4"/>
  <c r="AC14" i="4"/>
  <c r="AD14" i="4"/>
  <c r="AE14" i="4"/>
  <c r="AF14" i="4"/>
  <c r="AG14" i="4"/>
  <c r="AH14" i="4"/>
  <c r="AI14" i="4"/>
  <c r="AJ14" i="4"/>
  <c r="AK14" i="4"/>
  <c r="AB15" i="4"/>
  <c r="AC15" i="4"/>
  <c r="AD15" i="4"/>
  <c r="AE15" i="4"/>
  <c r="AF15" i="4"/>
  <c r="AG15" i="4"/>
  <c r="AH15" i="4"/>
  <c r="AI15" i="4"/>
  <c r="AJ15" i="4"/>
  <c r="AK15" i="4"/>
  <c r="AC11" i="4"/>
  <c r="AD11" i="4"/>
  <c r="AE11" i="4"/>
  <c r="AF11" i="4"/>
  <c r="AG11" i="4"/>
  <c r="AH11" i="4"/>
  <c r="AI11" i="4"/>
  <c r="AK11" i="4"/>
  <c r="AB32" i="4"/>
  <c r="AB25" i="4"/>
  <c r="AB18" i="4"/>
  <c r="T16" i="4"/>
  <c r="T23" i="4"/>
  <c r="T30" i="4"/>
  <c r="T37" i="4"/>
  <c r="Q39" i="4"/>
  <c r="AB4" i="4" s="1"/>
  <c r="R39" i="4"/>
  <c r="AC4" i="4" s="1"/>
  <c r="S39" i="4"/>
  <c r="AD4" i="4" s="1"/>
  <c r="T39" i="4"/>
  <c r="AE4" i="4" s="1"/>
  <c r="U39" i="4"/>
  <c r="AF4" i="4" s="1"/>
  <c r="V39" i="4"/>
  <c r="W39" i="4"/>
  <c r="AH4" i="4" s="1"/>
  <c r="X39" i="4"/>
  <c r="Y39" i="4"/>
  <c r="AJ4" i="4" s="1"/>
  <c r="Z39" i="4"/>
  <c r="AK4" i="4" s="1"/>
  <c r="Q40" i="4"/>
  <c r="AB5" i="4" s="1"/>
  <c r="R40" i="4"/>
  <c r="AC5" i="4" s="1"/>
  <c r="S40" i="4"/>
  <c r="AD5" i="4" s="1"/>
  <c r="T40" i="4"/>
  <c r="U40" i="4"/>
  <c r="AF5" i="4" s="1"/>
  <c r="V40" i="4"/>
  <c r="W40" i="4"/>
  <c r="AH5" i="4" s="1"/>
  <c r="X40" i="4"/>
  <c r="AI5" i="4" s="1"/>
  <c r="Y40" i="4"/>
  <c r="AJ5" i="4" s="1"/>
  <c r="Z40" i="4"/>
  <c r="AK5" i="4" s="1"/>
  <c r="Q41" i="4"/>
  <c r="AB6" i="4" s="1"/>
  <c r="R41" i="4"/>
  <c r="S41" i="4"/>
  <c r="AD6" i="4" s="1"/>
  <c r="T41" i="4"/>
  <c r="U41" i="4"/>
  <c r="AF6" i="4" s="1"/>
  <c r="V41" i="4"/>
  <c r="AG6" i="4" s="1"/>
  <c r="W41" i="4"/>
  <c r="AH6" i="4" s="1"/>
  <c r="X41" i="4"/>
  <c r="AI6" i="4" s="1"/>
  <c r="Y41" i="4"/>
  <c r="AJ6" i="4" s="1"/>
  <c r="Z41" i="4"/>
  <c r="Q42" i="4"/>
  <c r="AB7" i="4" s="1"/>
  <c r="R42" i="4"/>
  <c r="S42" i="4"/>
  <c r="AD7" i="4" s="1"/>
  <c r="T42" i="4"/>
  <c r="AE7" i="4" s="1"/>
  <c r="U42" i="4"/>
  <c r="AF7" i="4" s="1"/>
  <c r="V42" i="4"/>
  <c r="AG7" i="4" s="1"/>
  <c r="W42" i="4"/>
  <c r="AH7" i="4" s="1"/>
  <c r="X42" i="4"/>
  <c r="Y42" i="4"/>
  <c r="Z42" i="4"/>
  <c r="AK7" i="4" s="1"/>
  <c r="Q43" i="4"/>
  <c r="AB8" i="4" s="1"/>
  <c r="R43" i="4"/>
  <c r="AC8" i="4" s="1"/>
  <c r="S43" i="4"/>
  <c r="AD8" i="4" s="1"/>
  <c r="T43" i="4"/>
  <c r="AE8" i="4" s="1"/>
  <c r="U43" i="4"/>
  <c r="AF8" i="4" s="1"/>
  <c r="V43" i="4"/>
  <c r="W43" i="4"/>
  <c r="AH8" i="4" s="1"/>
  <c r="X43" i="4"/>
  <c r="AI8" i="4" s="1"/>
  <c r="Y43" i="4"/>
  <c r="AJ8" i="4" s="1"/>
  <c r="Z43" i="4"/>
  <c r="AK8" i="4" s="1"/>
  <c r="AV43" i="4"/>
  <c r="BG8" i="4" s="1"/>
  <c r="AU43" i="4"/>
  <c r="BF8" i="4" s="1"/>
  <c r="AT43" i="4"/>
  <c r="BE8" i="4" s="1"/>
  <c r="AS43" i="4"/>
  <c r="BD8" i="4" s="1"/>
  <c r="AR43" i="4"/>
  <c r="BC8" i="4" s="1"/>
  <c r="AQ43" i="4"/>
  <c r="AP43" i="4"/>
  <c r="BA8" i="4" s="1"/>
  <c r="AO43" i="4"/>
  <c r="AZ8" i="4" s="1"/>
  <c r="AN43" i="4"/>
  <c r="AY8" i="4" s="1"/>
  <c r="AM43" i="4"/>
  <c r="AX8" i="4" s="1"/>
  <c r="AV42" i="4"/>
  <c r="BG7" i="4" s="1"/>
  <c r="AU42" i="4"/>
  <c r="AT42" i="4"/>
  <c r="BE7" i="4" s="1"/>
  <c r="AS42" i="4"/>
  <c r="BD7" i="4" s="1"/>
  <c r="AR42" i="4"/>
  <c r="BC7" i="4" s="1"/>
  <c r="AQ42" i="4"/>
  <c r="BB7" i="4" s="1"/>
  <c r="AP42" i="4"/>
  <c r="BA7" i="4" s="1"/>
  <c r="AO42" i="4"/>
  <c r="AZ7" i="4" s="1"/>
  <c r="AN42" i="4"/>
  <c r="AY7" i="4" s="1"/>
  <c r="AM42" i="4"/>
  <c r="AX7" i="4" s="1"/>
  <c r="AJ7" i="4"/>
  <c r="AV41" i="4"/>
  <c r="BG6" i="4" s="1"/>
  <c r="AU41" i="4"/>
  <c r="BF6" i="4" s="1"/>
  <c r="AT41" i="4"/>
  <c r="BE6" i="4" s="1"/>
  <c r="AS41" i="4"/>
  <c r="BD6" i="4" s="1"/>
  <c r="AR41" i="4"/>
  <c r="BC6" i="4" s="1"/>
  <c r="AQ41" i="4"/>
  <c r="BB6" i="4" s="1"/>
  <c r="AP41" i="4"/>
  <c r="BA6" i="4" s="1"/>
  <c r="AO41" i="4"/>
  <c r="AZ6" i="4" s="1"/>
  <c r="AN41" i="4"/>
  <c r="AY6" i="4" s="1"/>
  <c r="AM41" i="4"/>
  <c r="AX6" i="4" s="1"/>
  <c r="AV40" i="4"/>
  <c r="BG5" i="4" s="1"/>
  <c r="AU40" i="4"/>
  <c r="BF5" i="4" s="1"/>
  <c r="AT40" i="4"/>
  <c r="BE5" i="4" s="1"/>
  <c r="AS40" i="4"/>
  <c r="BD5" i="4" s="1"/>
  <c r="AR40" i="4"/>
  <c r="BC5" i="4" s="1"/>
  <c r="AQ40" i="4"/>
  <c r="BB5" i="4" s="1"/>
  <c r="AP40" i="4"/>
  <c r="BA5" i="4" s="1"/>
  <c r="AO40" i="4"/>
  <c r="AZ5" i="4" s="1"/>
  <c r="AN40" i="4"/>
  <c r="AY5" i="4" s="1"/>
  <c r="AM40" i="4"/>
  <c r="AX5" i="4" s="1"/>
  <c r="AE5" i="4"/>
  <c r="AV39" i="4"/>
  <c r="BG4" i="4" s="1"/>
  <c r="AU39" i="4"/>
  <c r="AT39" i="4"/>
  <c r="BE4" i="4" s="1"/>
  <c r="AS39" i="4"/>
  <c r="BD4" i="4" s="1"/>
  <c r="AR39" i="4"/>
  <c r="BC4" i="4" s="1"/>
  <c r="AQ39" i="4"/>
  <c r="BB4" i="4" s="1"/>
  <c r="AP39" i="4"/>
  <c r="BA4" i="4" s="1"/>
  <c r="AO39" i="4"/>
  <c r="AZ4" i="4" s="1"/>
  <c r="AN39" i="4"/>
  <c r="AY4" i="4" s="1"/>
  <c r="AM39" i="4"/>
  <c r="AX4" i="4" s="1"/>
  <c r="AI4" i="4"/>
  <c r="AP37" i="4"/>
  <c r="E33" i="4"/>
  <c r="E32" i="4"/>
  <c r="AP30" i="4"/>
  <c r="AP23" i="4"/>
  <c r="AP16" i="4"/>
  <c r="E16" i="4"/>
  <c r="E22" i="4" s="1"/>
  <c r="E15" i="4"/>
  <c r="E21" i="4" s="1"/>
  <c r="E27" i="4" s="1"/>
  <c r="E14" i="4"/>
  <c r="E20" i="4" s="1"/>
  <c r="E26" i="4" s="1"/>
  <c r="E13" i="4"/>
  <c r="E19" i="4" s="1"/>
  <c r="BB8" i="4"/>
  <c r="AG8" i="4"/>
  <c r="BF7" i="4"/>
  <c r="AI7" i="4"/>
  <c r="AC7" i="4"/>
  <c r="AK6" i="4"/>
  <c r="AE6" i="4"/>
  <c r="AC6" i="4"/>
  <c r="AG5" i="4"/>
  <c r="BF4" i="4"/>
  <c r="AG4" i="4"/>
  <c r="E32" i="3"/>
  <c r="E33" i="3"/>
  <c r="E27" i="3"/>
  <c r="E26" i="3"/>
  <c r="E25" i="3"/>
  <c r="C14" i="1"/>
  <c r="E20" i="3"/>
  <c r="E21" i="3"/>
  <c r="E22" i="3"/>
  <c r="E19" i="3"/>
  <c r="AF37" i="3"/>
  <c r="AF30" i="3"/>
  <c r="AF23" i="3"/>
  <c r="AF16" i="3"/>
  <c r="J37" i="3"/>
  <c r="J30" i="3"/>
  <c r="J23" i="3"/>
  <c r="J16" i="3"/>
  <c r="C17" i="1"/>
  <c r="D17" i="1"/>
  <c r="E17" i="1"/>
  <c r="B17" i="1"/>
  <c r="E16" i="3"/>
  <c r="E15" i="3"/>
  <c r="E14" i="3"/>
  <c r="E13" i="3"/>
  <c r="AL43" i="3"/>
  <c r="AK43" i="3"/>
  <c r="AJ43" i="3"/>
  <c r="AI43" i="3"/>
  <c r="AH43" i="3"/>
  <c r="AG43" i="3"/>
  <c r="AF43" i="3"/>
  <c r="AE43" i="3"/>
  <c r="AD43" i="3"/>
  <c r="AO8" i="3" s="1"/>
  <c r="AC43" i="3"/>
  <c r="AN8" i="3" s="1"/>
  <c r="AL42" i="3"/>
  <c r="AK42" i="3"/>
  <c r="AJ42" i="3"/>
  <c r="AI42" i="3"/>
  <c r="AH42" i="3"/>
  <c r="AG42" i="3"/>
  <c r="AF42" i="3"/>
  <c r="AE42" i="3"/>
  <c r="AD42" i="3"/>
  <c r="AC42" i="3"/>
  <c r="AL41" i="3"/>
  <c r="AK41" i="3"/>
  <c r="AJ41" i="3"/>
  <c r="AU6" i="3" s="1"/>
  <c r="AI41" i="3"/>
  <c r="AH41" i="3"/>
  <c r="AG41" i="3"/>
  <c r="AF41" i="3"/>
  <c r="AE41" i="3"/>
  <c r="AD41" i="3"/>
  <c r="AC41" i="3"/>
  <c r="AL40" i="3"/>
  <c r="AK40" i="3"/>
  <c r="AJ40" i="3"/>
  <c r="AI40" i="3"/>
  <c r="AH40" i="3"/>
  <c r="AS5" i="3" s="1"/>
  <c r="AG40" i="3"/>
  <c r="AR5" i="3" s="1"/>
  <c r="AF40" i="3"/>
  <c r="AE40" i="3"/>
  <c r="AD40" i="3"/>
  <c r="AC40" i="3"/>
  <c r="AL39" i="3"/>
  <c r="AK39" i="3"/>
  <c r="AV4" i="3" s="1"/>
  <c r="AJ39" i="3"/>
  <c r="AI39" i="3"/>
  <c r="AH39" i="3"/>
  <c r="AG39" i="3"/>
  <c r="AF39" i="3"/>
  <c r="AE39" i="3"/>
  <c r="AP4" i="3" s="1"/>
  <c r="AD39" i="3"/>
  <c r="AO4" i="3" s="1"/>
  <c r="AC39" i="3"/>
  <c r="G40" i="3"/>
  <c r="R5" i="3" s="1"/>
  <c r="H40" i="3"/>
  <c r="S5" i="3" s="1"/>
  <c r="I40" i="3"/>
  <c r="J40" i="3"/>
  <c r="K40" i="3"/>
  <c r="L40" i="3"/>
  <c r="M40" i="3"/>
  <c r="N40" i="3"/>
  <c r="O40" i="3"/>
  <c r="P40" i="3"/>
  <c r="G41" i="3"/>
  <c r="H41" i="3"/>
  <c r="S6" i="3" s="1"/>
  <c r="I41" i="3"/>
  <c r="J41" i="3"/>
  <c r="U6" i="3" s="1"/>
  <c r="K41" i="3"/>
  <c r="L41" i="3"/>
  <c r="M41" i="3"/>
  <c r="N41" i="3"/>
  <c r="O41" i="3"/>
  <c r="P41" i="3"/>
  <c r="G42" i="3"/>
  <c r="H42" i="3"/>
  <c r="I42" i="3"/>
  <c r="J42" i="3"/>
  <c r="K42" i="3"/>
  <c r="V7" i="3" s="1"/>
  <c r="L42" i="3"/>
  <c r="M42" i="3"/>
  <c r="N42" i="3"/>
  <c r="O42" i="3"/>
  <c r="P42" i="3"/>
  <c r="G43" i="3"/>
  <c r="H43" i="3"/>
  <c r="I43" i="3"/>
  <c r="J43" i="3"/>
  <c r="K43" i="3"/>
  <c r="L43" i="3"/>
  <c r="M43" i="3"/>
  <c r="X8" i="3" s="1"/>
  <c r="N43" i="3"/>
  <c r="Y8" i="3" s="1"/>
  <c r="O43" i="3"/>
  <c r="P43" i="3"/>
  <c r="H39" i="3"/>
  <c r="I39" i="3"/>
  <c r="J39" i="3"/>
  <c r="K39" i="3"/>
  <c r="L39" i="3"/>
  <c r="W4" i="3" s="1"/>
  <c r="M39" i="3"/>
  <c r="N39" i="3"/>
  <c r="O39" i="3"/>
  <c r="P39" i="3"/>
  <c r="G39" i="3"/>
  <c r="F5" i="2"/>
  <c r="F7" i="2"/>
  <c r="F8" i="2"/>
  <c r="F9" i="2"/>
  <c r="F10" i="2"/>
  <c r="F2" i="2"/>
  <c r="C6" i="1"/>
  <c r="C3" i="1"/>
  <c r="C4" i="1"/>
  <c r="C5" i="1"/>
  <c r="C7" i="1"/>
  <c r="C8" i="1"/>
  <c r="C9" i="1"/>
  <c r="C10" i="1"/>
  <c r="C11" i="1"/>
  <c r="C2" i="1"/>
  <c r="E38" i="4" l="1"/>
  <c r="E40" i="4"/>
  <c r="E28" i="4"/>
  <c r="E25" i="4"/>
  <c r="E37" i="4"/>
  <c r="E39" i="4"/>
  <c r="E38" i="3"/>
  <c r="AT21" i="3" s="1"/>
  <c r="E37" i="3"/>
  <c r="AW27" i="3" s="1"/>
  <c r="E28" i="3"/>
  <c r="E40" i="3"/>
  <c r="V36" i="3" s="1"/>
  <c r="E39" i="3"/>
  <c r="Z25" i="3" s="1"/>
  <c r="T15" i="3"/>
  <c r="AU14" i="3"/>
  <c r="AN28" i="3"/>
  <c r="AU11" i="3"/>
  <c r="AW12" i="3"/>
  <c r="AO14" i="3"/>
  <c r="AN13" i="3"/>
  <c r="AO34" i="3"/>
  <c r="AQ15" i="3"/>
  <c r="AQ35" i="3"/>
  <c r="AP29" i="3"/>
  <c r="AR15" i="3"/>
  <c r="AS36" i="3"/>
  <c r="Y4" i="3"/>
  <c r="X11" i="3"/>
  <c r="AR12" i="3"/>
  <c r="AT13" i="3"/>
  <c r="AR27" i="3"/>
  <c r="AT27" i="3"/>
  <c r="AP34" i="3"/>
  <c r="AV36" i="3"/>
  <c r="V15" i="3"/>
  <c r="AU8" i="3"/>
  <c r="AV5" i="3"/>
  <c r="W15" i="3"/>
  <c r="AT12" i="3"/>
  <c r="AS27" i="3"/>
  <c r="AQ33" i="3"/>
  <c r="AW36" i="3"/>
  <c r="AU4" i="3"/>
  <c r="U15" i="3"/>
  <c r="AV13" i="3"/>
  <c r="AT28" i="3"/>
  <c r="AQ34" i="3"/>
  <c r="AT8" i="3"/>
  <c r="Z4" i="3"/>
  <c r="U14" i="3"/>
  <c r="AV14" i="3"/>
  <c r="AU28" i="3"/>
  <c r="AR34" i="3"/>
  <c r="AS8" i="3"/>
  <c r="Y5" i="3"/>
  <c r="T14" i="3"/>
  <c r="AN15" i="3"/>
  <c r="AV28" i="3"/>
  <c r="AS34" i="3"/>
  <c r="AR8" i="3"/>
  <c r="AA5" i="3"/>
  <c r="S14" i="3"/>
  <c r="AN25" i="3"/>
  <c r="AV29" i="3"/>
  <c r="AR35" i="3"/>
  <c r="AR7" i="3"/>
  <c r="R6" i="3"/>
  <c r="S13" i="3"/>
  <c r="AO25" i="3"/>
  <c r="AW29" i="3"/>
  <c r="AS35" i="3"/>
  <c r="AQ7" i="3"/>
  <c r="AA6" i="3"/>
  <c r="R13" i="3"/>
  <c r="AP25" i="3"/>
  <c r="AN32" i="3"/>
  <c r="AT35" i="3"/>
  <c r="AP7" i="3"/>
  <c r="S7" i="3"/>
  <c r="AA12" i="3"/>
  <c r="AP26" i="3"/>
  <c r="AO32" i="3"/>
  <c r="AU35" i="3"/>
  <c r="AO7" i="3"/>
  <c r="T7" i="3"/>
  <c r="Z11" i="3"/>
  <c r="AO11" i="3"/>
  <c r="AQ26" i="3"/>
  <c r="AN33" i="3"/>
  <c r="AT36" i="3"/>
  <c r="AO6" i="3"/>
  <c r="U8" i="3"/>
  <c r="Y11" i="3"/>
  <c r="AP11" i="3"/>
  <c r="AR26" i="3"/>
  <c r="AO33" i="3"/>
  <c r="AU36" i="3"/>
  <c r="AW5" i="3"/>
  <c r="V8" i="3"/>
  <c r="AS4" i="3"/>
  <c r="Z12" i="3"/>
  <c r="AS26" i="3"/>
  <c r="S11" i="3"/>
  <c r="Z14" i="3"/>
  <c r="X13" i="3"/>
  <c r="V12" i="3"/>
  <c r="AV11" i="3"/>
  <c r="AO13" i="3"/>
  <c r="AQ14" i="3"/>
  <c r="AS15" i="3"/>
  <c r="AU25" i="3"/>
  <c r="AW26" i="3"/>
  <c r="AO28" i="3"/>
  <c r="AQ29" i="3"/>
  <c r="AS32" i="3"/>
  <c r="AU33" i="3"/>
  <c r="AW34" i="3"/>
  <c r="AO36" i="3"/>
  <c r="AN7" i="3"/>
  <c r="AW7" i="3"/>
  <c r="AT6" i="3"/>
  <c r="AQ5" i="3"/>
  <c r="R4" i="3"/>
  <c r="T5" i="3"/>
  <c r="V6" i="3"/>
  <c r="X7" i="3"/>
  <c r="Z8" i="3"/>
  <c r="Y33" i="3"/>
  <c r="AQ11" i="3"/>
  <c r="AA15" i="3"/>
  <c r="Y14" i="3"/>
  <c r="W13" i="3"/>
  <c r="U12" i="3"/>
  <c r="AW11" i="3"/>
  <c r="AP13" i="3"/>
  <c r="AR14" i="3"/>
  <c r="AT15" i="3"/>
  <c r="AV25" i="3"/>
  <c r="AN27" i="3"/>
  <c r="AP28" i="3"/>
  <c r="AR29" i="3"/>
  <c r="AT32" i="3"/>
  <c r="AV33" i="3"/>
  <c r="AN35" i="3"/>
  <c r="AP36" i="3"/>
  <c r="AN6" i="3"/>
  <c r="AV7" i="3"/>
  <c r="AS6" i="3"/>
  <c r="AP5" i="3"/>
  <c r="S4" i="3"/>
  <c r="U5" i="3"/>
  <c r="W6" i="3"/>
  <c r="Y7" i="3"/>
  <c r="AA8" i="3"/>
  <c r="S8" i="3"/>
  <c r="AU12" i="3"/>
  <c r="AU27" i="3"/>
  <c r="AU5" i="3"/>
  <c r="Z15" i="3"/>
  <c r="X14" i="3"/>
  <c r="V13" i="3"/>
  <c r="T12" i="3"/>
  <c r="AO12" i="3"/>
  <c r="AQ13" i="3"/>
  <c r="AS14" i="3"/>
  <c r="AU15" i="3"/>
  <c r="AW25" i="3"/>
  <c r="AO27" i="3"/>
  <c r="AQ28" i="3"/>
  <c r="AS29" i="3"/>
  <c r="AU32" i="3"/>
  <c r="AW33" i="3"/>
  <c r="AO35" i="3"/>
  <c r="AQ36" i="3"/>
  <c r="AN5" i="3"/>
  <c r="AU7" i="3"/>
  <c r="AR6" i="3"/>
  <c r="AO5" i="3"/>
  <c r="T4" i="3"/>
  <c r="V5" i="3"/>
  <c r="X6" i="3"/>
  <c r="Z7" i="3"/>
  <c r="R11" i="3"/>
  <c r="AW13" i="3"/>
  <c r="Y15" i="3"/>
  <c r="W14" i="3"/>
  <c r="U13" i="3"/>
  <c r="AP12" i="3"/>
  <c r="AR13" i="3"/>
  <c r="AT14" i="3"/>
  <c r="AV15" i="3"/>
  <c r="AN26" i="3"/>
  <c r="AP27" i="3"/>
  <c r="AR28" i="3"/>
  <c r="AT29" i="3"/>
  <c r="AV32" i="3"/>
  <c r="AN34" i="3"/>
  <c r="AP35" i="3"/>
  <c r="AR36" i="3"/>
  <c r="AW8" i="3"/>
  <c r="AT7" i="3"/>
  <c r="AQ6" i="3"/>
  <c r="AW4" i="3"/>
  <c r="U4" i="3"/>
  <c r="W5" i="3"/>
  <c r="Y6" i="3"/>
  <c r="AA7" i="3"/>
  <c r="AA11" i="3"/>
  <c r="X15" i="3"/>
  <c r="V14" i="3"/>
  <c r="T13" i="3"/>
  <c r="R12" i="3"/>
  <c r="AO26" i="3"/>
  <c r="AQ27" i="3"/>
  <c r="AS28" i="3"/>
  <c r="AU29" i="3"/>
  <c r="AV8" i="3"/>
  <c r="AS7" i="3"/>
  <c r="AP6" i="3"/>
  <c r="V4" i="3"/>
  <c r="X5" i="3"/>
  <c r="Z6" i="3"/>
  <c r="R8" i="3"/>
  <c r="AS12" i="3"/>
  <c r="AU13" i="3"/>
  <c r="AW14" i="3"/>
  <c r="AT4" i="3"/>
  <c r="X4" i="3"/>
  <c r="Z5" i="3"/>
  <c r="R7" i="3"/>
  <c r="T8" i="3"/>
  <c r="R14" i="3"/>
  <c r="AQ25" i="3"/>
  <c r="W11" i="3"/>
  <c r="AO15" i="3"/>
  <c r="V11" i="3"/>
  <c r="S15" i="3"/>
  <c r="AA13" i="3"/>
  <c r="Y12" i="3"/>
  <c r="AS11" i="3"/>
  <c r="AV12" i="3"/>
  <c r="AN14" i="3"/>
  <c r="AP15" i="3"/>
  <c r="AR25" i="3"/>
  <c r="AT26" i="3"/>
  <c r="AV27" i="3"/>
  <c r="AP32" i="3"/>
  <c r="AR33" i="3"/>
  <c r="AN12" i="3"/>
  <c r="AQ8" i="3"/>
  <c r="AW6" i="3"/>
  <c r="AT5" i="3"/>
  <c r="AQ4" i="3"/>
  <c r="AA4" i="3"/>
  <c r="U7" i="3"/>
  <c r="W8" i="3"/>
  <c r="AN11" i="3"/>
  <c r="U11" i="3"/>
  <c r="R15" i="3"/>
  <c r="Z13" i="3"/>
  <c r="X12" i="3"/>
  <c r="AT11" i="3"/>
  <c r="AO29" i="3"/>
  <c r="AS33" i="3"/>
  <c r="AU34" i="3"/>
  <c r="AW35" i="3"/>
  <c r="AN4" i="3"/>
  <c r="AP8" i="3"/>
  <c r="AV6" i="3"/>
  <c r="T6" i="3"/>
  <c r="AR11" i="3"/>
  <c r="AR4" i="3"/>
  <c r="T11" i="3"/>
  <c r="AA14" i="3"/>
  <c r="Y13" i="3"/>
  <c r="W12" i="3"/>
  <c r="AN36" i="3"/>
  <c r="W7" i="3"/>
  <c r="D6" i="1"/>
  <c r="BB23" i="4" l="1"/>
  <c r="AZ23" i="4"/>
  <c r="AF23" i="4"/>
  <c r="AD23" i="4"/>
  <c r="X33" i="3"/>
  <c r="AA35" i="3"/>
  <c r="W33" i="3"/>
  <c r="V32" i="3"/>
  <c r="R32" i="3"/>
  <c r="U32" i="3"/>
  <c r="R35" i="3"/>
  <c r="Y36" i="3"/>
  <c r="U34" i="3"/>
  <c r="X36" i="3"/>
  <c r="AQ32" i="3"/>
  <c r="AV35" i="3"/>
  <c r="AV26" i="3"/>
  <c r="AV34" i="3"/>
  <c r="AT25" i="3"/>
  <c r="AW28" i="3"/>
  <c r="V25" i="3"/>
  <c r="R26" i="3"/>
  <c r="Y29" i="3"/>
  <c r="Y27" i="3"/>
  <c r="S27" i="3"/>
  <c r="U26" i="3"/>
  <c r="S29" i="3"/>
  <c r="AS25" i="3"/>
  <c r="AR30" i="3" s="1"/>
  <c r="S12" i="3"/>
  <c r="V16" i="3" s="1"/>
  <c r="AP33" i="3"/>
  <c r="AP14" i="3"/>
  <c r="W34" i="3"/>
  <c r="X28" i="3"/>
  <c r="AA28" i="3"/>
  <c r="T25" i="3"/>
  <c r="Z27" i="3"/>
  <c r="AW15" i="3"/>
  <c r="W35" i="3"/>
  <c r="V33" i="3"/>
  <c r="T36" i="3"/>
  <c r="Z35" i="3"/>
  <c r="Z32" i="3"/>
  <c r="W32" i="3"/>
  <c r="T34" i="3"/>
  <c r="U36" i="3"/>
  <c r="X34" i="3"/>
  <c r="Y34" i="3"/>
  <c r="T32" i="3"/>
  <c r="Y32" i="3"/>
  <c r="S19" i="3"/>
  <c r="AA34" i="3"/>
  <c r="S34" i="3"/>
  <c r="AA32" i="3"/>
  <c r="Z33" i="3"/>
  <c r="V35" i="3"/>
  <c r="AA33" i="3"/>
  <c r="S33" i="3"/>
  <c r="S36" i="3"/>
  <c r="Y35" i="3"/>
  <c r="R33" i="3"/>
  <c r="T35" i="3"/>
  <c r="U35" i="3"/>
  <c r="S35" i="3"/>
  <c r="X35" i="3"/>
  <c r="S32" i="3"/>
  <c r="Z34" i="3"/>
  <c r="T33" i="3"/>
  <c r="AA36" i="3"/>
  <c r="W36" i="3"/>
  <c r="R34" i="3"/>
  <c r="Z36" i="3"/>
  <c r="R36" i="3"/>
  <c r="V34" i="3"/>
  <c r="U33" i="3"/>
  <c r="X32" i="3"/>
  <c r="U20" i="3"/>
  <c r="T22" i="3"/>
  <c r="AO22" i="3"/>
  <c r="Y22" i="3"/>
  <c r="Z22" i="3"/>
  <c r="AU21" i="3"/>
  <c r="AT22" i="3"/>
  <c r="AQ20" i="3"/>
  <c r="AN19" i="3"/>
  <c r="S18" i="3"/>
  <c r="AV21" i="3"/>
  <c r="W21" i="3"/>
  <c r="X21" i="3"/>
  <c r="AV18" i="3"/>
  <c r="S21" i="3"/>
  <c r="AS21" i="3"/>
  <c r="W18" i="3"/>
  <c r="AR18" i="3"/>
  <c r="Z19" i="3"/>
  <c r="AR19" i="3"/>
  <c r="V22" i="3"/>
  <c r="AR21" i="3"/>
  <c r="AV22" i="3"/>
  <c r="AU18" i="3"/>
  <c r="V20" i="3"/>
  <c r="W22" i="3"/>
  <c r="AW20" i="3"/>
  <c r="AT19" i="3"/>
  <c r="R21" i="3"/>
  <c r="AV19" i="3"/>
  <c r="AW19" i="3"/>
  <c r="U19" i="3"/>
  <c r="AQ19" i="3"/>
  <c r="S20" i="3"/>
  <c r="U22" i="3"/>
  <c r="AW18" i="3"/>
  <c r="AN18" i="3"/>
  <c r="AS22" i="3"/>
  <c r="AU22" i="3"/>
  <c r="AQ22" i="3"/>
  <c r="Z18" i="3"/>
  <c r="X19" i="3"/>
  <c r="R22" i="3"/>
  <c r="AR20" i="3"/>
  <c r="AS20" i="3"/>
  <c r="S22" i="3"/>
  <c r="AO21" i="3"/>
  <c r="R20" i="3"/>
  <c r="AS19" i="3"/>
  <c r="AP22" i="3"/>
  <c r="AU20" i="3"/>
  <c r="V21" i="3"/>
  <c r="AS18" i="3"/>
  <c r="AT18" i="3"/>
  <c r="AA22" i="3"/>
  <c r="AA19" i="3"/>
  <c r="U21" i="3"/>
  <c r="AO18" i="3"/>
  <c r="AP20" i="3"/>
  <c r="U18" i="3"/>
  <c r="AP19" i="3"/>
  <c r="AA21" i="3"/>
  <c r="X22" i="3"/>
  <c r="AN20" i="3"/>
  <c r="V19" i="3"/>
  <c r="AT20" i="3"/>
  <c r="T19" i="3"/>
  <c r="T18" i="3"/>
  <c r="AO19" i="3"/>
  <c r="R18" i="3"/>
  <c r="T23" i="3" s="1"/>
  <c r="V18" i="3"/>
  <c r="R19" i="3"/>
  <c r="W20" i="3"/>
  <c r="Z20" i="3"/>
  <c r="T20" i="3"/>
  <c r="Y21" i="3"/>
  <c r="AQ18" i="3"/>
  <c r="AP18" i="3"/>
  <c r="AA18" i="3"/>
  <c r="AP21" i="3"/>
  <c r="X20" i="3"/>
  <c r="Y18" i="3"/>
  <c r="AW22" i="3"/>
  <c r="X18" i="3"/>
  <c r="Y19" i="3"/>
  <c r="Y20" i="3"/>
  <c r="AQ21" i="3"/>
  <c r="AU19" i="3"/>
  <c r="AN21" i="3"/>
  <c r="AV20" i="3"/>
  <c r="W19" i="3"/>
  <c r="AW21" i="3"/>
  <c r="AR22" i="3"/>
  <c r="AO20" i="3"/>
  <c r="Z21" i="3"/>
  <c r="T21" i="3"/>
  <c r="AN22" i="3"/>
  <c r="AA20" i="3"/>
  <c r="V28" i="3"/>
  <c r="T26" i="3"/>
  <c r="Z28" i="3"/>
  <c r="V27" i="3"/>
  <c r="AA29" i="3"/>
  <c r="R29" i="3"/>
  <c r="Y26" i="3"/>
  <c r="X27" i="3"/>
  <c r="S28" i="3"/>
  <c r="X25" i="3"/>
  <c r="U27" i="3"/>
  <c r="U25" i="3"/>
  <c r="V29" i="3"/>
  <c r="AA26" i="3"/>
  <c r="W27" i="3"/>
  <c r="X26" i="3"/>
  <c r="R28" i="3"/>
  <c r="U28" i="3"/>
  <c r="AA27" i="3"/>
  <c r="W25" i="3"/>
  <c r="X29" i="3"/>
  <c r="W26" i="3"/>
  <c r="R25" i="3"/>
  <c r="AS13" i="3"/>
  <c r="U29" i="3"/>
  <c r="Z26" i="3"/>
  <c r="AU26" i="3"/>
  <c r="T28" i="3"/>
  <c r="V26" i="3"/>
  <c r="AT33" i="3"/>
  <c r="S26" i="3"/>
  <c r="W29" i="3"/>
  <c r="Y25" i="3"/>
  <c r="T29" i="3"/>
  <c r="R27" i="3"/>
  <c r="AR32" i="3"/>
  <c r="AQ12" i="3"/>
  <c r="AT34" i="3"/>
  <c r="S25" i="3"/>
  <c r="AP30" i="3"/>
  <c r="T27" i="3"/>
  <c r="Z29" i="3"/>
  <c r="W28" i="3"/>
  <c r="T16" i="3"/>
  <c r="AA25" i="3"/>
  <c r="Y28" i="3"/>
  <c r="D8" i="1"/>
  <c r="BB30" i="4" l="1"/>
  <c r="AZ30" i="4"/>
  <c r="AF30" i="4"/>
  <c r="AD30" i="4"/>
  <c r="AZ16" i="4"/>
  <c r="BB16" i="4"/>
  <c r="AZ37" i="4"/>
  <c r="BB37" i="4"/>
  <c r="AF37" i="4"/>
  <c r="AD37" i="4"/>
  <c r="AF16" i="4"/>
  <c r="AD16" i="4"/>
  <c r="AR23" i="3"/>
  <c r="V37" i="3"/>
  <c r="AP23" i="3"/>
  <c r="AR37" i="3"/>
  <c r="AR16" i="3"/>
  <c r="T37" i="3"/>
  <c r="V23" i="3"/>
  <c r="B14" i="1"/>
  <c r="C15" i="1"/>
  <c r="E14" i="1"/>
  <c r="D14" i="1"/>
  <c r="D15" i="1" s="1"/>
  <c r="D18" i="1"/>
  <c r="E18" i="1"/>
  <c r="C18" i="1"/>
  <c r="B18" i="1"/>
  <c r="AP37" i="3"/>
  <c r="V30" i="3"/>
  <c r="T30" i="3"/>
  <c r="E15" i="1"/>
  <c r="B15" i="1"/>
  <c r="C27" i="1" l="1"/>
  <c r="C28" i="1"/>
  <c r="C29" i="1"/>
  <c r="C21" i="1"/>
  <c r="C20" i="1"/>
  <c r="C22" i="1"/>
  <c r="C23" i="1"/>
  <c r="C25" i="1"/>
  <c r="C24" i="1"/>
  <c r="C26" i="1"/>
  <c r="D28" i="1"/>
  <c r="D26" i="1"/>
  <c r="D29" i="1"/>
  <c r="D25" i="1"/>
  <c r="D20" i="1"/>
  <c r="D24" i="1"/>
  <c r="D27" i="1"/>
  <c r="D21" i="1"/>
  <c r="D23" i="1"/>
  <c r="D22" i="1"/>
  <c r="B22" i="1"/>
  <c r="B23" i="1"/>
  <c r="B24" i="1"/>
  <c r="B25" i="1"/>
  <c r="B26" i="1"/>
  <c r="B20" i="1"/>
  <c r="B29" i="1"/>
  <c r="B27" i="1"/>
  <c r="B28" i="1"/>
  <c r="B21" i="1"/>
  <c r="E25" i="1"/>
  <c r="E26" i="1"/>
  <c r="E27" i="1"/>
  <c r="E20" i="1"/>
  <c r="E28" i="1"/>
  <c r="E23" i="1"/>
  <c r="E29" i="1"/>
  <c r="E22" i="1"/>
  <c r="E21" i="1"/>
  <c r="E24" i="1"/>
</calcChain>
</file>

<file path=xl/sharedStrings.xml><?xml version="1.0" encoding="utf-8"?>
<sst xmlns="http://schemas.openxmlformats.org/spreadsheetml/2006/main" count="751" uniqueCount="314">
  <si>
    <t>Sample Number</t>
  </si>
  <si>
    <t>mass needed (g)</t>
  </si>
  <si>
    <t>Molecular Mass (g/mol)</t>
  </si>
  <si>
    <t>Target Concentration</t>
  </si>
  <si>
    <t>GLU</t>
  </si>
  <si>
    <t>LA</t>
  </si>
  <si>
    <t>HIS</t>
  </si>
  <si>
    <t>GLY</t>
  </si>
  <si>
    <t>GLU2</t>
  </si>
  <si>
    <t>GLU3</t>
  </si>
  <si>
    <t>GLU4</t>
  </si>
  <si>
    <t>GLU5</t>
  </si>
  <si>
    <t>GLU6</t>
  </si>
  <si>
    <t>GLU7</t>
  </si>
  <si>
    <t>GLU8</t>
  </si>
  <si>
    <t>GLU9</t>
  </si>
  <si>
    <t>GLU10</t>
  </si>
  <si>
    <t>LA2</t>
  </si>
  <si>
    <t>LA3</t>
  </si>
  <si>
    <t>LA4</t>
  </si>
  <si>
    <t>LA5</t>
  </si>
  <si>
    <t>LA6</t>
  </si>
  <si>
    <t>LA7</t>
  </si>
  <si>
    <t>LA8</t>
  </si>
  <si>
    <t>LA9</t>
  </si>
  <si>
    <t>LA10</t>
  </si>
  <si>
    <t>HIS2</t>
  </si>
  <si>
    <t>HIS3</t>
  </si>
  <si>
    <t>HIS4</t>
  </si>
  <si>
    <t>HIS5</t>
  </si>
  <si>
    <t>HIS6</t>
  </si>
  <si>
    <t>HIS7</t>
  </si>
  <si>
    <t>HIS8</t>
  </si>
  <si>
    <t>HIS9</t>
  </si>
  <si>
    <t>HIS10</t>
  </si>
  <si>
    <t>GLY2</t>
  </si>
  <si>
    <t>GLY3</t>
  </si>
  <si>
    <t>GLY4</t>
  </si>
  <si>
    <t>GLY5</t>
  </si>
  <si>
    <t>GLY6</t>
  </si>
  <si>
    <t>GLY7</t>
  </si>
  <si>
    <t>GLY8</t>
  </si>
  <si>
    <t>GLY9</t>
  </si>
  <si>
    <t>GLY10</t>
  </si>
  <si>
    <t>FS1</t>
  </si>
  <si>
    <t>FS2</t>
  </si>
  <si>
    <t>FS3</t>
  </si>
  <si>
    <t>FS4</t>
  </si>
  <si>
    <t>FS5</t>
  </si>
  <si>
    <t>FS6</t>
  </si>
  <si>
    <t>FS7</t>
  </si>
  <si>
    <t>FS8</t>
  </si>
  <si>
    <t>FS9</t>
  </si>
  <si>
    <t>FS10</t>
  </si>
  <si>
    <t>SPIKE VOLUME (mL)</t>
  </si>
  <si>
    <t>Conflicting Concentration Gradient</t>
  </si>
  <si>
    <t>Correlated Concentration Gradient</t>
  </si>
  <si>
    <t>Unaltered Field Samples</t>
  </si>
  <si>
    <t>Diluted Samples (V of Field Sample Added)</t>
  </si>
  <si>
    <t>River Surface 1 (01/10/23)</t>
  </si>
  <si>
    <t>River Surface 2 (01/11/23)</t>
  </si>
  <si>
    <t>Bulk River 1 (01/10/23)</t>
  </si>
  <si>
    <t>Bulk River 2 (01/11/23)</t>
  </si>
  <si>
    <t>Ocean Sea Foam 1 (01/10/23)</t>
  </si>
  <si>
    <t>Ocean Sea Foam 2 (01/11/23)</t>
  </si>
  <si>
    <t>Ocean Sea Spray (01/10/23)</t>
  </si>
  <si>
    <t>Target Volume to Add</t>
  </si>
  <si>
    <t>Final Sample Volume</t>
  </si>
  <si>
    <t>Desired Stock Concentration (mM)</t>
  </si>
  <si>
    <t>Final Sample Volumes for Each Sample (20 mL)</t>
  </si>
  <si>
    <t>MOLES ADDED PER SPIKE (mmol)</t>
  </si>
  <si>
    <t>Stock Conc</t>
  </si>
  <si>
    <t>Actual Mass Used (g)</t>
  </si>
  <si>
    <t>Actual Concentrations</t>
  </si>
  <si>
    <t>OSU Salt Water Tank (03/29/2023)</t>
  </si>
  <si>
    <t>Water/Field Sample Volume</t>
  </si>
  <si>
    <t>Histidine Volumes</t>
  </si>
  <si>
    <t>Matrix 1</t>
  </si>
  <si>
    <t>Matrix 2</t>
  </si>
  <si>
    <t>Glucose Volumes</t>
  </si>
  <si>
    <t>Glycine Volumes</t>
  </si>
  <si>
    <t xml:space="preserve"> </t>
  </si>
  <si>
    <t>Glucose Spikes (mM)</t>
  </si>
  <si>
    <t>Water/Field Sample Dilution Factor</t>
  </si>
  <si>
    <t>Stock Concentration Glucose (mM)</t>
  </si>
  <si>
    <t>Stock Concentration Lactic Acid (mM)</t>
  </si>
  <si>
    <t>Stock Concentration Histidine (mM)</t>
  </si>
  <si>
    <t>Stock Concentration Glycine (mM)</t>
  </si>
  <si>
    <t>Histidine Spikes (mM)</t>
  </si>
  <si>
    <t>Glycine Spikes (mM)</t>
  </si>
  <si>
    <t>Volume of Stock Needed Glucose</t>
  </si>
  <si>
    <t>Volume of Stock Needed Histidine</t>
  </si>
  <si>
    <t>Volume of Stock Needed Glycine</t>
  </si>
  <si>
    <t>Mass of Histidine for Stock</t>
  </si>
  <si>
    <t>Mass of Glucose for Stock</t>
  </si>
  <si>
    <t>Mass of Glycine for Stock</t>
  </si>
  <si>
    <t>Experimental Concentrations of Stock Solutions (mM)</t>
  </si>
  <si>
    <t>Spike Range</t>
  </si>
  <si>
    <t xml:space="preserve">to </t>
  </si>
  <si>
    <t>Rounded Up Volume for Samples</t>
  </si>
  <si>
    <t>Total Volumes</t>
  </si>
  <si>
    <t>Minimum Volume Needed for Samples (Sum X 2 for Neat and Field)</t>
  </si>
  <si>
    <r>
      <t xml:space="preserve">Mass Needed for Stock Solutions </t>
    </r>
    <r>
      <rPr>
        <b/>
        <u/>
        <sz val="11"/>
        <color theme="1"/>
        <rFont val="Calibri"/>
        <family val="2"/>
        <scheme val="minor"/>
      </rPr>
      <t>CALCULATED</t>
    </r>
  </si>
  <si>
    <t>Concentration of 100 mL stock</t>
  </si>
  <si>
    <t>Lowest Volume of Stock Needed (mL)</t>
  </si>
  <si>
    <t>Rounded Volume (mL)</t>
  </si>
  <si>
    <t>Moles Needed (mmol)</t>
  </si>
  <si>
    <t>Actual Moles Used (mmol)</t>
  </si>
  <si>
    <t>Total Volume for Section</t>
  </si>
  <si>
    <t>Sample Vial Names for Mixtures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</si>
  <si>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</si>
  <si>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</si>
  <si>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</si>
  <si>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</si>
  <si>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</si>
  <si>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</si>
  <si>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</si>
  <si>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</si>
  <si>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</si>
  <si>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</si>
  <si>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</si>
  <si>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</si>
  <si>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</si>
  <si>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</si>
  <si>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</si>
  <si>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</si>
  <si>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</si>
  <si>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</si>
  <si>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</si>
  <si>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</si>
  <si>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</si>
  <si>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</si>
  <si>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</si>
  <si>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</si>
  <si>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</si>
  <si>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</si>
  <si>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</si>
  <si>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</si>
  <si>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</si>
  <si>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</si>
  <si>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</si>
  <si>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</si>
  <si>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</si>
  <si>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</si>
  <si>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</si>
  <si>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</si>
  <si>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</si>
  <si>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</si>
  <si>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</si>
  <si>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</si>
  <si>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</si>
  <si>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</si>
  <si>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</si>
  <si>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</si>
  <si>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</si>
  <si>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</si>
  <si>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</si>
  <si>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</si>
  <si>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</si>
  <si>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</si>
  <si>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</si>
  <si>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</si>
  <si>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</si>
  <si>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</si>
  <si>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</si>
  <si>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</si>
  <si>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</si>
  <si>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</si>
  <si>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</si>
  <si>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</si>
  <si>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</si>
  <si>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</si>
  <si>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</si>
  <si>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</si>
  <si>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</si>
  <si>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</si>
  <si>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</si>
  <si>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</si>
  <si>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</si>
  <si>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</si>
  <si>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</si>
  <si>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</si>
  <si>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</si>
  <si>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</si>
  <si>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</si>
  <si>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</si>
  <si>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</si>
  <si>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</si>
  <si>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</si>
  <si>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</si>
  <si>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</si>
  <si>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</si>
  <si>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</si>
  <si>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</si>
  <si>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</si>
  <si>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</si>
  <si>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</si>
  <si>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</si>
  <si>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</si>
  <si>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</si>
  <si>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</si>
  <si>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</si>
  <si>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</si>
  <si>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</si>
  <si>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</si>
  <si>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</si>
  <si>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</si>
  <si>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</si>
  <si>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</si>
  <si>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</si>
  <si>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</si>
  <si>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</si>
  <si>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</si>
  <si>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</si>
  <si>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</si>
  <si>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</si>
  <si>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</si>
  <si>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</si>
  <si>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</si>
  <si>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</si>
  <si>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</si>
  <si>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</si>
  <si>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</si>
  <si>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</si>
  <si>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</si>
  <si>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</si>
  <si>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</si>
  <si>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</si>
  <si>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</si>
  <si>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</si>
  <si>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</si>
  <si>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</si>
  <si>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</si>
  <si>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</si>
  <si>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</si>
  <si>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</si>
  <si>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</si>
  <si>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</si>
  <si>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</si>
  <si>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</si>
  <si>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</si>
  <si>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</si>
  <si>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</si>
  <si>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</si>
  <si>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</si>
  <si>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</si>
  <si>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</si>
  <si>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</si>
  <si>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</si>
  <si>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</si>
  <si>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</si>
  <si>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</si>
  <si>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</si>
  <si>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</si>
  <si>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</si>
  <si>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</si>
  <si>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</si>
  <si>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</si>
  <si>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</si>
  <si>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</si>
  <si>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</si>
  <si>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</si>
  <si>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</si>
  <si>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</si>
  <si>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</si>
  <si>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</si>
  <si>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</si>
  <si>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</si>
  <si>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</si>
  <si>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</si>
  <si>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</si>
  <si>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</si>
  <si>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</si>
  <si>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</si>
  <si>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</si>
  <si>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</si>
  <si>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</si>
  <si>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</si>
  <si>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</si>
  <si>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</si>
  <si>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N_ Samples: Neat Water</t>
  </si>
  <si>
    <t>BA</t>
  </si>
  <si>
    <t>Volume of Stock Needed Butyric Acid</t>
  </si>
  <si>
    <t>Mass of Butyric Acid for Stock</t>
  </si>
  <si>
    <t>Butyric Acid Volume</t>
  </si>
  <si>
    <t>Butyric Acid Spikes (mM)</t>
  </si>
  <si>
    <r>
      <t xml:space="preserve">Mass Used to make 1 L Stock (g) </t>
    </r>
    <r>
      <rPr>
        <b/>
        <u/>
        <sz val="11"/>
        <color theme="1"/>
        <rFont val="Calibri"/>
        <family val="2"/>
        <scheme val="minor"/>
      </rPr>
      <t>MEASURED</t>
    </r>
  </si>
  <si>
    <t>Ocean Bulk 1 (01/10/23)</t>
  </si>
  <si>
    <t>Ocean Bulk 2 (01/10/23)</t>
  </si>
  <si>
    <t>Field Sample Concentrations</t>
  </si>
  <si>
    <t>Glucose</t>
  </si>
  <si>
    <t>Butyric Acid</t>
  </si>
  <si>
    <t>Glycine</t>
  </si>
  <si>
    <t>GLY (mM)</t>
  </si>
  <si>
    <t>GLU (mM)</t>
  </si>
  <si>
    <t>BUT (mM)</t>
  </si>
  <si>
    <t>BA10</t>
  </si>
  <si>
    <t>BA9</t>
  </si>
  <si>
    <t>BA8</t>
  </si>
  <si>
    <t>BA7</t>
  </si>
  <si>
    <t>BA6</t>
  </si>
  <si>
    <t>BA5</t>
  </si>
  <si>
    <t>BA4</t>
  </si>
  <si>
    <t>BA3</t>
  </si>
  <si>
    <t>BA2</t>
  </si>
  <si>
    <t>MIN</t>
  </si>
  <si>
    <t>MAX</t>
  </si>
  <si>
    <t>* BA comes as a "Syrup" with 85% Purity and the 15% is likely water so all values of moles is adjusted by (100/85)</t>
  </si>
  <si>
    <t>Stock Concentration Butyric Acid (mM)</t>
  </si>
  <si>
    <t>Not Sampled</t>
  </si>
  <si>
    <t>F_ Samples: Field Samples</t>
  </si>
  <si>
    <t>Used for MS Calibration Confirmation</t>
  </si>
  <si>
    <t>Histidine (BELOW LOQ)</t>
  </si>
  <si>
    <t>Field Sample Ratio of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</si>
</sst>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0000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BA91F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2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1" xfId="0" applyFill="1" applyBorder="1"/>
    <xf numFmtId="0" fontId="4" fillId="10" borderId="1" xfId="0" applyFont="1" applyFill="1" applyBorder="1"/>
    <xf numFmtId="0" fontId="4" fillId="9" borderId="1" xfId="0" applyFon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4" fillId="16" borderId="1" xfId="0" applyFont="1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0" borderId="1" xfId="0" applyFont="1" applyFill="1" applyBorder="1" applyAlignment="1">
      <alignment horizontal="center"/>
    </xf>
    <xf numFmtId="0" fontId="2" fillId="21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2" fillId="23" borderId="1" xfId="0" applyFont="1" applyFill="1" applyBorder="1" applyAlignment="1">
      <alignment horizontal="center"/>
    </xf>
    <xf numFmtId="0" fontId="2" fillId="2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25" borderId="1" xfId="0" applyFill="1" applyBorder="1"/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6" borderId="1" xfId="0" applyFill="1" applyBorder="1"/>
    <xf numFmtId="0" fontId="4" fillId="0" borderId="0" xfId="0" applyFont="1"/>
    <xf numFmtId="164" fontId="0" fillId="23" borderId="1" xfId="0" applyNumberFormat="1" applyFill="1" applyBorder="1"/>
    <xf numFmtId="1" fontId="0" fillId="23" borderId="1" xfId="0" applyNumberFormat="1" applyFill="1" applyBorder="1"/>
    <xf numFmtId="1" fontId="0" fillId="14" borderId="1" xfId="0" applyNumberFormat="1" applyFill="1" applyBorder="1"/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3" xfId="0" applyBorder="1"/>
    <xf numFmtId="0" fontId="0" fillId="6" borderId="1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27" borderId="1" xfId="0" applyFill="1" applyBorder="1"/>
    <xf numFmtId="1" fontId="0" fillId="23" borderId="2" xfId="0" applyNumberFormat="1" applyFill="1" applyBorder="1"/>
    <xf numFmtId="1" fontId="0" fillId="25" borderId="7" xfId="0" applyNumberFormat="1" applyFill="1" applyBorder="1" applyAlignment="1">
      <alignment horizontal="center"/>
    </xf>
    <xf numFmtId="1" fontId="0" fillId="25" borderId="6" xfId="0" applyNumberFormat="1" applyFill="1" applyBorder="1" applyAlignment="1">
      <alignment horizontal="center"/>
    </xf>
    <xf numFmtId="1" fontId="0" fillId="25" borderId="8" xfId="0" applyNumberFormat="1" applyFill="1" applyBorder="1" applyAlignment="1">
      <alignment horizontal="center"/>
    </xf>
    <xf numFmtId="0" fontId="0" fillId="27" borderId="1" xfId="0" applyFill="1" applyBorder="1" applyAlignment="1">
      <alignment horizontal="center"/>
    </xf>
    <xf numFmtId="165" fontId="0" fillId="27" borderId="1" xfId="0" applyNumberFormat="1" applyFill="1" applyBorder="1" applyAlignment="1">
      <alignment horizontal="center"/>
    </xf>
    <xf numFmtId="0" fontId="5" fillId="27" borderId="1" xfId="0" applyFont="1" applyFill="1" applyBorder="1" applyAlignment="1">
      <alignment horizontal="center"/>
    </xf>
    <xf numFmtId="0" fontId="5" fillId="5" borderId="1" xfId="0" applyFont="1" applyFill="1" applyBorder="1"/>
    <xf numFmtId="0" fontId="4" fillId="11" borderId="1" xfId="0" applyFont="1" applyFill="1" applyBorder="1" applyAlignment="1">
      <alignment horizontal="center"/>
    </xf>
    <xf numFmtId="0" fontId="0" fillId="24" borderId="1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/>
    <xf numFmtId="0" fontId="4" fillId="27" borderId="1" xfId="0" applyFont="1" applyFill="1" applyBorder="1" applyAlignment="1">
      <alignment horizontal="center"/>
    </xf>
    <xf numFmtId="0" fontId="0" fillId="29" borderId="1" xfId="0" applyFill="1" applyBorder="1"/>
    <xf numFmtId="1" fontId="0" fillId="27" borderId="1" xfId="0" applyNumberFormat="1" applyFill="1" applyBorder="1" applyAlignment="1">
      <alignment horizontal="center"/>
    </xf>
    <xf numFmtId="0" fontId="0" fillId="30" borderId="1" xfId="0" applyFill="1" applyBorder="1" applyAlignment="1">
      <alignment horizontal="center"/>
    </xf>
    <xf numFmtId="1" fontId="0" fillId="30" borderId="1" xfId="0" applyNumberFormat="1" applyFill="1" applyBorder="1"/>
    <xf numFmtId="1" fontId="4" fillId="30" borderId="1" xfId="0" applyNumberFormat="1" applyFont="1" applyFill="1" applyBorder="1"/>
    <xf numFmtId="1" fontId="0" fillId="31" borderId="1" xfId="0" applyNumberFormat="1" applyFill="1" applyBorder="1"/>
    <xf numFmtId="0" fontId="0" fillId="30" borderId="1" xfId="0" applyFill="1" applyBorder="1"/>
    <xf numFmtId="1" fontId="0" fillId="32" borderId="1" xfId="0" applyNumberFormat="1" applyFill="1" applyBorder="1"/>
    <xf numFmtId="0" fontId="7" fillId="0" borderId="1" xfId="0" applyFont="1" applyBorder="1"/>
    <xf numFmtId="0" fontId="0" fillId="31" borderId="1" xfId="0" applyFill="1" applyBorder="1" applyAlignment="1">
      <alignment horizontal="center"/>
    </xf>
    <xf numFmtId="0" fontId="8" fillId="0" borderId="1" xfId="0" applyFont="1" applyBorder="1"/>
    <xf numFmtId="0" fontId="2" fillId="0" borderId="9" xfId="0" applyFont="1" applyBorder="1" applyAlignment="1">
      <alignment horizontal="center"/>
    </xf>
    <xf numFmtId="2" fontId="7" fillId="0" borderId="1" xfId="0" applyNumberFormat="1" applyFont="1" applyBorder="1"/>
    <xf numFmtId="2" fontId="0" fillId="0" borderId="0" xfId="0" applyNumberFormat="1"/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2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8" borderId="1" xfId="0" applyFill="1" applyBorder="1" applyAlignment="1">
      <alignment horizontal="center"/>
    </xf>
    <xf numFmtId="0" fontId="0" fillId="28" borderId="7" xfId="0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6" borderId="6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91F7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8B242-0AB0-4E74-8909-CD45E1E07898}">
  <dimension ref="A1:E30"/>
  <sheetViews>
    <sheetView workbookViewId="0">
      <selection activeCell="I25" sqref="I25"/>
    </sheetView>
  </sheetViews>
  <sheetFormatPr defaultRowHeight="15" x14ac:dyDescent="0.25"/>
  <cols>
    <col min="1" max="1" width="27.85546875" bestFit="1" customWidth="1"/>
    <col min="2" max="2" width="22.28515625" bestFit="1" customWidth="1"/>
    <col min="3" max="3" width="23.85546875" bestFit="1" customWidth="1"/>
    <col min="4" max="4" width="35" bestFit="1" customWidth="1"/>
    <col min="5" max="5" width="24.85546875" bestFit="1" customWidth="1"/>
    <col min="6" max="6" width="23.42578125" bestFit="1" customWidth="1"/>
  </cols>
  <sheetData>
    <row r="1" spans="1:5" x14ac:dyDescent="0.25">
      <c r="A1" s="26" t="s">
        <v>0</v>
      </c>
      <c r="B1" s="26" t="s">
        <v>3</v>
      </c>
      <c r="C1" s="26" t="s">
        <v>66</v>
      </c>
      <c r="D1" s="34" t="s">
        <v>68</v>
      </c>
    </row>
    <row r="2" spans="1:5" x14ac:dyDescent="0.25">
      <c r="A2" s="27">
        <v>1</v>
      </c>
      <c r="B2" s="27">
        <v>0</v>
      </c>
      <c r="C2" s="27">
        <f>B2*$D$4/$D$2</f>
        <v>0</v>
      </c>
      <c r="D2" s="27">
        <v>300</v>
      </c>
    </row>
    <row r="3" spans="1:5" x14ac:dyDescent="0.25">
      <c r="A3" s="27">
        <v>2</v>
      </c>
      <c r="B3" s="27">
        <v>25</v>
      </c>
      <c r="C3" s="27">
        <f t="shared" ref="C3:C11" si="0">B3*$D$4/$D$2</f>
        <v>1.6666666666666667</v>
      </c>
      <c r="D3" s="34" t="s">
        <v>67</v>
      </c>
    </row>
    <row r="4" spans="1:5" x14ac:dyDescent="0.25">
      <c r="A4" s="27">
        <v>3</v>
      </c>
      <c r="B4" s="27">
        <v>50</v>
      </c>
      <c r="C4" s="27">
        <f t="shared" si="0"/>
        <v>3.3333333333333335</v>
      </c>
      <c r="D4" s="27">
        <v>20</v>
      </c>
    </row>
    <row r="5" spans="1:5" x14ac:dyDescent="0.25">
      <c r="A5" s="27">
        <v>4</v>
      </c>
      <c r="B5" s="27">
        <v>100</v>
      </c>
      <c r="C5" s="27">
        <f t="shared" si="0"/>
        <v>6.666666666666667</v>
      </c>
      <c r="D5" s="34" t="s">
        <v>104</v>
      </c>
    </row>
    <row r="6" spans="1:5" x14ac:dyDescent="0.25">
      <c r="A6" s="27">
        <v>5</v>
      </c>
      <c r="B6" s="27">
        <v>125</v>
      </c>
      <c r="C6" s="27">
        <f>B6*$D$4/$D$2</f>
        <v>8.3333333333333339</v>
      </c>
      <c r="D6" s="27">
        <f>SUM(C2:C11)</f>
        <v>96.666666666666657</v>
      </c>
    </row>
    <row r="7" spans="1:5" x14ac:dyDescent="0.25">
      <c r="A7" s="27">
        <v>6</v>
      </c>
      <c r="B7" s="27">
        <v>150</v>
      </c>
      <c r="C7" s="27">
        <f t="shared" si="0"/>
        <v>10</v>
      </c>
      <c r="D7" s="34" t="s">
        <v>105</v>
      </c>
    </row>
    <row r="8" spans="1:5" x14ac:dyDescent="0.25">
      <c r="A8" s="27">
        <v>7</v>
      </c>
      <c r="B8" s="27">
        <v>175</v>
      </c>
      <c r="C8" s="27">
        <f t="shared" si="0"/>
        <v>11.666666666666666</v>
      </c>
      <c r="D8">
        <f>CEILING(D6,100)</f>
        <v>100</v>
      </c>
    </row>
    <row r="9" spans="1:5" x14ac:dyDescent="0.25">
      <c r="A9" s="27">
        <v>8</v>
      </c>
      <c r="B9" s="27">
        <v>250</v>
      </c>
      <c r="C9" s="27">
        <f t="shared" si="0"/>
        <v>16.666666666666668</v>
      </c>
    </row>
    <row r="10" spans="1:5" x14ac:dyDescent="0.25">
      <c r="A10" s="27">
        <v>9</v>
      </c>
      <c r="B10" s="27">
        <v>275</v>
      </c>
      <c r="C10" s="27">
        <f t="shared" si="0"/>
        <v>18.333333333333332</v>
      </c>
    </row>
    <row r="11" spans="1:5" x14ac:dyDescent="0.25">
      <c r="A11" s="27">
        <v>10</v>
      </c>
      <c r="B11" s="27">
        <v>300</v>
      </c>
      <c r="C11" s="27">
        <f t="shared" si="0"/>
        <v>20</v>
      </c>
    </row>
    <row r="12" spans="1:5" x14ac:dyDescent="0.25">
      <c r="B12" s="35" t="s">
        <v>4</v>
      </c>
      <c r="C12" s="36" t="s">
        <v>281</v>
      </c>
      <c r="D12" s="36" t="s">
        <v>6</v>
      </c>
      <c r="E12" s="36" t="s">
        <v>7</v>
      </c>
    </row>
    <row r="13" spans="1:5" x14ac:dyDescent="0.25">
      <c r="A13" s="3" t="s">
        <v>2</v>
      </c>
      <c r="B13" s="27">
        <v>180.15</v>
      </c>
      <c r="C13" s="27">
        <v>88.11</v>
      </c>
      <c r="D13" s="27">
        <v>155.15</v>
      </c>
      <c r="E13" s="27">
        <v>75.069999999999993</v>
      </c>
    </row>
    <row r="14" spans="1:5" x14ac:dyDescent="0.25">
      <c r="A14" s="3" t="s">
        <v>106</v>
      </c>
      <c r="B14" s="27">
        <f>(($D$2/1000)*($D$8/1000))</f>
        <v>0.03</v>
      </c>
      <c r="C14" s="82">
        <f>(($D$2/1000)*($D$8/1000))</f>
        <v>0.03</v>
      </c>
      <c r="D14" s="27">
        <f t="shared" ref="D14:E14" si="1">(($D$2/1000)*($D$8/1000))</f>
        <v>0.03</v>
      </c>
      <c r="E14" s="27">
        <f t="shared" si="1"/>
        <v>0.03</v>
      </c>
    </row>
    <row r="15" spans="1:5" x14ac:dyDescent="0.25">
      <c r="A15" s="3" t="s">
        <v>1</v>
      </c>
      <c r="B15" s="27">
        <f>B14*B13</f>
        <v>5.4044999999999996</v>
      </c>
      <c r="C15" s="27">
        <f>C14*C13</f>
        <v>2.6433</v>
      </c>
      <c r="D15" s="27">
        <f t="shared" ref="D15:E15" si="2">D14*D13</f>
        <v>4.6544999999999996</v>
      </c>
      <c r="E15" s="27">
        <f t="shared" si="2"/>
        <v>2.2520999999999995</v>
      </c>
    </row>
    <row r="16" spans="1:5" x14ac:dyDescent="0.25">
      <c r="A16" s="3" t="s">
        <v>72</v>
      </c>
      <c r="B16" s="58">
        <v>5.2208899999999998</v>
      </c>
      <c r="C16" s="58"/>
      <c r="D16" s="58"/>
      <c r="E16" s="58"/>
    </row>
    <row r="17" spans="1:5" x14ac:dyDescent="0.25">
      <c r="A17" s="3" t="s">
        <v>107</v>
      </c>
      <c r="B17" s="47">
        <f>(B16/B13)*1000</f>
        <v>28.980793782958642</v>
      </c>
      <c r="C17" s="47">
        <f>(C16/C13)*1000*(85/100)</f>
        <v>0</v>
      </c>
      <c r="D17" s="47">
        <f t="shared" ref="D17:E17" si="3">(D16/D13)*1000</f>
        <v>0</v>
      </c>
      <c r="E17" s="47">
        <f t="shared" si="3"/>
        <v>0</v>
      </c>
    </row>
    <row r="18" spans="1:5" x14ac:dyDescent="0.25">
      <c r="A18" s="3" t="s">
        <v>103</v>
      </c>
      <c r="B18" s="27">
        <f>B17/($D$8/1000)</f>
        <v>289.80793782958642</v>
      </c>
      <c r="C18" s="27">
        <f>C17/($D$8/1000)</f>
        <v>0</v>
      </c>
      <c r="D18" s="27">
        <f t="shared" ref="D18:E18" si="4">D17/($D$8/1000)</f>
        <v>0</v>
      </c>
      <c r="E18" s="27">
        <f t="shared" si="4"/>
        <v>0</v>
      </c>
    </row>
    <row r="19" spans="1:5" x14ac:dyDescent="0.25">
      <c r="A19" s="34" t="s">
        <v>73</v>
      </c>
      <c r="B19" s="34" t="s">
        <v>4</v>
      </c>
      <c r="C19" s="36" t="s">
        <v>5</v>
      </c>
      <c r="D19" s="36" t="s">
        <v>6</v>
      </c>
      <c r="E19" s="36" t="s">
        <v>7</v>
      </c>
    </row>
    <row r="20" spans="1:5" x14ac:dyDescent="0.25">
      <c r="A20" s="27">
        <v>1</v>
      </c>
      <c r="B20" s="27">
        <f>($B$18*$C2)/$D$4</f>
        <v>0</v>
      </c>
      <c r="C20" s="27">
        <f>($C$18*$C2)/$D$4</f>
        <v>0</v>
      </c>
      <c r="D20" s="27">
        <f>($D$18*$C2)/$D$4</f>
        <v>0</v>
      </c>
      <c r="E20" s="27">
        <f>($E$18*$C2)/$D$4</f>
        <v>0</v>
      </c>
    </row>
    <row r="21" spans="1:5" x14ac:dyDescent="0.25">
      <c r="A21" s="27">
        <v>2</v>
      </c>
      <c r="B21" s="27">
        <f t="shared" ref="B21:B29" si="5">($B$18*$C3)/$D$4</f>
        <v>24.150661485798871</v>
      </c>
      <c r="C21" s="27">
        <f t="shared" ref="C21:C29" si="6">($C$18*$C3)/$D$4</f>
        <v>0</v>
      </c>
      <c r="D21" s="27">
        <f t="shared" ref="D21:D29" si="7">($D$18*$C3)/$D$4</f>
        <v>0</v>
      </c>
      <c r="E21" s="27">
        <f t="shared" ref="E21:E29" si="8">($E$18*$C3)/$D$4</f>
        <v>0</v>
      </c>
    </row>
    <row r="22" spans="1:5" x14ac:dyDescent="0.25">
      <c r="A22" s="27">
        <v>3</v>
      </c>
      <c r="B22" s="27">
        <f t="shared" si="5"/>
        <v>48.301322971597742</v>
      </c>
      <c r="C22" s="27">
        <f t="shared" si="6"/>
        <v>0</v>
      </c>
      <c r="D22" s="27">
        <f t="shared" si="7"/>
        <v>0</v>
      </c>
      <c r="E22" s="27">
        <f t="shared" si="8"/>
        <v>0</v>
      </c>
    </row>
    <row r="23" spans="1:5" x14ac:dyDescent="0.25">
      <c r="A23" s="27">
        <v>4</v>
      </c>
      <c r="B23" s="27">
        <f t="shared" si="5"/>
        <v>96.602645943195483</v>
      </c>
      <c r="C23" s="27">
        <f t="shared" si="6"/>
        <v>0</v>
      </c>
      <c r="D23" s="27">
        <f t="shared" si="7"/>
        <v>0</v>
      </c>
      <c r="E23" s="27">
        <f t="shared" si="8"/>
        <v>0</v>
      </c>
    </row>
    <row r="24" spans="1:5" x14ac:dyDescent="0.25">
      <c r="A24" s="27">
        <v>5</v>
      </c>
      <c r="B24" s="27">
        <f t="shared" si="5"/>
        <v>120.75330742899435</v>
      </c>
      <c r="C24" s="27">
        <f t="shared" si="6"/>
        <v>0</v>
      </c>
      <c r="D24" s="27">
        <f t="shared" si="7"/>
        <v>0</v>
      </c>
      <c r="E24" s="27">
        <f t="shared" si="8"/>
        <v>0</v>
      </c>
    </row>
    <row r="25" spans="1:5" x14ac:dyDescent="0.25">
      <c r="A25" s="27">
        <v>6</v>
      </c>
      <c r="B25" s="27">
        <f t="shared" si="5"/>
        <v>144.90396891479321</v>
      </c>
      <c r="C25" s="27">
        <f t="shared" si="6"/>
        <v>0</v>
      </c>
      <c r="D25" s="27">
        <f t="shared" si="7"/>
        <v>0</v>
      </c>
      <c r="E25" s="27">
        <f t="shared" si="8"/>
        <v>0</v>
      </c>
    </row>
    <row r="26" spans="1:5" x14ac:dyDescent="0.25">
      <c r="A26" s="27">
        <v>7</v>
      </c>
      <c r="B26" s="27">
        <f t="shared" si="5"/>
        <v>169.05463040059209</v>
      </c>
      <c r="C26" s="27">
        <f t="shared" si="6"/>
        <v>0</v>
      </c>
      <c r="D26" s="27">
        <f t="shared" si="7"/>
        <v>0</v>
      </c>
      <c r="E26" s="27">
        <f t="shared" si="8"/>
        <v>0</v>
      </c>
    </row>
    <row r="27" spans="1:5" x14ac:dyDescent="0.25">
      <c r="A27" s="27">
        <v>8</v>
      </c>
      <c r="B27" s="27">
        <f t="shared" si="5"/>
        <v>241.50661485798869</v>
      </c>
      <c r="C27" s="27">
        <f t="shared" si="6"/>
        <v>0</v>
      </c>
      <c r="D27" s="27">
        <f t="shared" si="7"/>
        <v>0</v>
      </c>
      <c r="E27" s="27">
        <f t="shared" si="8"/>
        <v>0</v>
      </c>
    </row>
    <row r="28" spans="1:5" x14ac:dyDescent="0.25">
      <c r="A28" s="27">
        <v>9</v>
      </c>
      <c r="B28" s="27">
        <f t="shared" si="5"/>
        <v>265.65727634378754</v>
      </c>
      <c r="C28" s="27">
        <f t="shared" si="6"/>
        <v>0</v>
      </c>
      <c r="D28" s="27">
        <f t="shared" si="7"/>
        <v>0</v>
      </c>
      <c r="E28" s="27">
        <f t="shared" si="8"/>
        <v>0</v>
      </c>
    </row>
    <row r="29" spans="1:5" x14ac:dyDescent="0.25">
      <c r="A29" s="27">
        <v>10</v>
      </c>
      <c r="B29" s="27">
        <f t="shared" si="5"/>
        <v>289.80793782958642</v>
      </c>
      <c r="C29" s="27">
        <f t="shared" si="6"/>
        <v>0</v>
      </c>
      <c r="D29" s="27">
        <f t="shared" si="7"/>
        <v>0</v>
      </c>
      <c r="E29" s="27">
        <f t="shared" si="8"/>
        <v>0</v>
      </c>
    </row>
    <row r="30" spans="1:5" x14ac:dyDescent="0.25">
      <c r="A30" s="100" t="s">
        <v>307</v>
      </c>
      <c r="B30" s="100"/>
      <c r="C30" s="100"/>
      <c r="D30" s="100"/>
      <c r="E30" s="100"/>
    </row>
  </sheetData>
  <protectedRanges>
    <protectedRange algorithmName="SHA-512" hashValue="ZwPi3QHPMkBEFEZtE1MYioihQEh7yAIETRX0ob1Ll/wIFAB00nENn4J8AXQPl2cJ0+2kfM3+iQ3JvWkrIC0jxA==" saltValue="0OZL9Xtg/ilKh9zTdtRQkA==" spinCount="100000" sqref="B16:E16" name="Experimental Masses"/>
  </protectedRanges>
  <mergeCells count="1">
    <mergeCell ref="A30:E3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53B9B-2963-4AC2-86C3-973A00CEC164}">
  <dimension ref="A1:X41"/>
  <sheetViews>
    <sheetView topLeftCell="A10" workbookViewId="0">
      <selection activeCell="D25" sqref="D25"/>
    </sheetView>
  </sheetViews>
  <sheetFormatPr defaultRowHeight="15" x14ac:dyDescent="0.25"/>
  <cols>
    <col min="1" max="1" width="10.42578125" bestFit="1" customWidth="1"/>
    <col min="2" max="2" width="15" bestFit="1" customWidth="1"/>
    <col min="5" max="5" width="18.5703125" bestFit="1" customWidth="1"/>
    <col min="6" max="6" width="34.7109375" bestFit="1" customWidth="1"/>
    <col min="7" max="7" width="8.7109375" customWidth="1"/>
    <col min="21" max="21" width="36.5703125" style="1" customWidth="1"/>
    <col min="22" max="24" width="10.5703125" bestFit="1" customWidth="1"/>
  </cols>
  <sheetData>
    <row r="1" spans="1:24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54</v>
      </c>
      <c r="F1" s="2" t="s">
        <v>70</v>
      </c>
      <c r="G1" s="1"/>
      <c r="H1" s="104" t="s">
        <v>69</v>
      </c>
      <c r="I1" s="104"/>
      <c r="J1" s="104"/>
      <c r="K1" s="104"/>
      <c r="L1" s="104"/>
      <c r="M1" s="104"/>
      <c r="N1" s="104"/>
      <c r="O1" s="104"/>
      <c r="P1" s="104"/>
      <c r="Q1" s="104"/>
      <c r="V1" t="s">
        <v>293</v>
      </c>
      <c r="W1" t="s">
        <v>295</v>
      </c>
      <c r="X1" t="s">
        <v>294</v>
      </c>
    </row>
    <row r="2" spans="1:24" x14ac:dyDescent="0.25">
      <c r="A2" s="27" t="s">
        <v>8</v>
      </c>
      <c r="B2" s="27" t="s">
        <v>17</v>
      </c>
      <c r="C2" s="27" t="s">
        <v>26</v>
      </c>
      <c r="D2" s="27" t="s">
        <v>35</v>
      </c>
      <c r="E2" s="27">
        <v>2</v>
      </c>
      <c r="F2" s="27">
        <f>$B$11*(E2/1000)</f>
        <v>0.6</v>
      </c>
      <c r="H2" s="25" t="s">
        <v>44</v>
      </c>
      <c r="I2" s="25" t="s">
        <v>45</v>
      </c>
      <c r="J2" s="25" t="s">
        <v>46</v>
      </c>
      <c r="K2" s="25" t="s">
        <v>47</v>
      </c>
      <c r="L2" s="25" t="s">
        <v>48</v>
      </c>
      <c r="M2" s="25" t="s">
        <v>49</v>
      </c>
      <c r="N2" s="25" t="s">
        <v>50</v>
      </c>
      <c r="O2" s="25" t="s">
        <v>51</v>
      </c>
      <c r="P2" s="25" t="s">
        <v>52</v>
      </c>
      <c r="Q2" s="25" t="s">
        <v>53</v>
      </c>
      <c r="S2" s="95" t="s">
        <v>110</v>
      </c>
      <c r="T2" s="25" t="s">
        <v>44</v>
      </c>
      <c r="U2" s="25" t="s">
        <v>287</v>
      </c>
      <c r="V2" s="96">
        <v>6.0118167539999998</v>
      </c>
      <c r="W2" s="96">
        <v>26.809090000000001</v>
      </c>
      <c r="X2" s="96">
        <v>14.20262361</v>
      </c>
    </row>
    <row r="3" spans="1:24" x14ac:dyDescent="0.25">
      <c r="A3" s="27" t="s">
        <v>9</v>
      </c>
      <c r="B3" s="27" t="s">
        <v>18</v>
      </c>
      <c r="C3" s="98" t="s">
        <v>27</v>
      </c>
      <c r="D3" s="98" t="s">
        <v>36</v>
      </c>
      <c r="E3" s="27">
        <v>3</v>
      </c>
      <c r="F3" s="27">
        <f t="shared" ref="F3:F10" si="0">$B$11*(E3/1000)</f>
        <v>0.9</v>
      </c>
      <c r="H3" s="105" t="s">
        <v>58</v>
      </c>
      <c r="I3" s="105"/>
      <c r="J3" s="105"/>
      <c r="K3" s="105"/>
      <c r="L3" s="105"/>
      <c r="M3" s="105"/>
      <c r="N3" s="105"/>
      <c r="O3" s="105"/>
      <c r="P3" s="105"/>
      <c r="Q3" s="105"/>
      <c r="S3" s="95" t="s">
        <v>111</v>
      </c>
      <c r="T3" s="25" t="s">
        <v>45</v>
      </c>
      <c r="U3" s="25" t="s">
        <v>59</v>
      </c>
      <c r="V3" s="96">
        <v>2.938150051</v>
      </c>
      <c r="W3" s="96">
        <v>22.23011</v>
      </c>
      <c r="X3" s="96">
        <v>6.3707602330000004</v>
      </c>
    </row>
    <row r="4" spans="1:24" x14ac:dyDescent="0.25">
      <c r="A4" s="27" t="s">
        <v>10</v>
      </c>
      <c r="B4" s="27" t="s">
        <v>19</v>
      </c>
      <c r="C4" s="98" t="s">
        <v>28</v>
      </c>
      <c r="D4" s="98" t="s">
        <v>37</v>
      </c>
      <c r="E4" s="27">
        <v>4</v>
      </c>
      <c r="F4" s="27">
        <f t="shared" si="0"/>
        <v>1.2</v>
      </c>
      <c r="H4" s="25">
        <v>2</v>
      </c>
      <c r="I4" s="25">
        <v>2</v>
      </c>
      <c r="J4" s="25">
        <v>2</v>
      </c>
      <c r="K4" s="25">
        <v>2</v>
      </c>
      <c r="L4" s="25">
        <v>2</v>
      </c>
      <c r="M4" s="25">
        <v>2</v>
      </c>
      <c r="N4" s="25">
        <v>2</v>
      </c>
      <c r="O4" s="25">
        <v>2</v>
      </c>
      <c r="P4" s="25">
        <v>2</v>
      </c>
      <c r="Q4" s="25">
        <v>2</v>
      </c>
      <c r="S4" s="95" t="s">
        <v>112</v>
      </c>
      <c r="T4" s="25" t="s">
        <v>46</v>
      </c>
      <c r="U4" s="25" t="s">
        <v>62</v>
      </c>
      <c r="V4" s="96">
        <v>1.236363828</v>
      </c>
      <c r="W4" s="96">
        <v>26.262180000000001</v>
      </c>
      <c r="X4" s="96">
        <v>12.952698229999999</v>
      </c>
    </row>
    <row r="5" spans="1:24" x14ac:dyDescent="0.25">
      <c r="A5" s="27" t="s">
        <v>11</v>
      </c>
      <c r="B5" s="27" t="s">
        <v>20</v>
      </c>
      <c r="C5" s="27" t="s">
        <v>29</v>
      </c>
      <c r="D5" s="27" t="s">
        <v>38</v>
      </c>
      <c r="E5" s="27">
        <v>5</v>
      </c>
      <c r="F5" s="27">
        <f t="shared" si="0"/>
        <v>1.5</v>
      </c>
      <c r="H5" s="32">
        <v>5</v>
      </c>
      <c r="I5" s="32">
        <v>5</v>
      </c>
      <c r="J5" s="32">
        <v>5</v>
      </c>
      <c r="K5" s="32">
        <v>5</v>
      </c>
      <c r="L5" s="32">
        <v>5</v>
      </c>
      <c r="M5" s="32">
        <v>5</v>
      </c>
      <c r="N5" s="32">
        <v>5</v>
      </c>
      <c r="O5" s="32">
        <v>5</v>
      </c>
      <c r="P5" s="32">
        <v>5</v>
      </c>
      <c r="Q5" s="32">
        <v>5</v>
      </c>
      <c r="S5" s="95" t="s">
        <v>113</v>
      </c>
      <c r="T5" s="25" t="s">
        <v>47</v>
      </c>
      <c r="U5" s="25" t="s">
        <v>63</v>
      </c>
      <c r="V5" s="96">
        <v>-0.30952381000000001</v>
      </c>
      <c r="W5" s="96">
        <v>21.82159</v>
      </c>
      <c r="X5" s="96">
        <v>20.186807290000001</v>
      </c>
    </row>
    <row r="6" spans="1:24" x14ac:dyDescent="0.25">
      <c r="A6" s="27" t="s">
        <v>12</v>
      </c>
      <c r="B6" s="27" t="s">
        <v>21</v>
      </c>
      <c r="C6" s="98" t="s">
        <v>30</v>
      </c>
      <c r="D6" s="98" t="s">
        <v>39</v>
      </c>
      <c r="E6" s="27">
        <v>6</v>
      </c>
      <c r="F6" s="27">
        <f t="shared" si="0"/>
        <v>1.8</v>
      </c>
      <c r="H6" s="31">
        <v>10</v>
      </c>
      <c r="I6" s="31">
        <v>10</v>
      </c>
      <c r="J6" s="31">
        <v>10</v>
      </c>
      <c r="K6" s="31">
        <v>10</v>
      </c>
      <c r="L6" s="31">
        <v>10</v>
      </c>
      <c r="M6" s="31">
        <v>10</v>
      </c>
      <c r="N6" s="31">
        <v>10</v>
      </c>
      <c r="O6" s="31">
        <v>10</v>
      </c>
      <c r="P6" s="31">
        <v>10</v>
      </c>
      <c r="Q6" s="31">
        <v>10</v>
      </c>
      <c r="S6" s="95" t="s">
        <v>114</v>
      </c>
      <c r="T6" s="25" t="s">
        <v>48</v>
      </c>
      <c r="U6" s="25" t="s">
        <v>65</v>
      </c>
      <c r="V6" s="96">
        <v>11.265374380000001</v>
      </c>
      <c r="W6" s="96">
        <v>48.107489999999999</v>
      </c>
      <c r="X6" s="96">
        <v>29.845761899999999</v>
      </c>
    </row>
    <row r="7" spans="1:24" x14ac:dyDescent="0.25">
      <c r="A7" s="27" t="s">
        <v>13</v>
      </c>
      <c r="B7" s="27" t="s">
        <v>22</v>
      </c>
      <c r="C7" s="27" t="s">
        <v>31</v>
      </c>
      <c r="D7" s="27" t="s">
        <v>40</v>
      </c>
      <c r="E7" s="27">
        <v>7</v>
      </c>
      <c r="F7" s="27">
        <f t="shared" si="0"/>
        <v>2.1</v>
      </c>
      <c r="H7" s="30">
        <v>15</v>
      </c>
      <c r="I7" s="30">
        <v>15</v>
      </c>
      <c r="J7" s="30">
        <v>15</v>
      </c>
      <c r="K7" s="30">
        <v>15</v>
      </c>
      <c r="L7" s="30">
        <v>15</v>
      </c>
      <c r="M7" s="30">
        <v>15</v>
      </c>
      <c r="N7" s="30">
        <v>15</v>
      </c>
      <c r="O7" s="30">
        <v>15</v>
      </c>
      <c r="P7" s="30">
        <v>15</v>
      </c>
      <c r="Q7" s="30">
        <v>15</v>
      </c>
      <c r="S7" s="95" t="s">
        <v>115</v>
      </c>
      <c r="T7" s="25" t="s">
        <v>49</v>
      </c>
      <c r="U7" s="33" t="s">
        <v>74</v>
      </c>
      <c r="V7" s="96">
        <v>3.6051870359999998</v>
      </c>
      <c r="W7" s="96">
        <v>25.90916</v>
      </c>
      <c r="X7" s="96">
        <v>11.744491010000001</v>
      </c>
    </row>
    <row r="8" spans="1:24" x14ac:dyDescent="0.25">
      <c r="A8" s="27" t="s">
        <v>14</v>
      </c>
      <c r="B8" s="27" t="s">
        <v>23</v>
      </c>
      <c r="C8" s="98" t="s">
        <v>32</v>
      </c>
      <c r="D8" s="98" t="s">
        <v>41</v>
      </c>
      <c r="E8" s="27">
        <v>8</v>
      </c>
      <c r="F8" s="27">
        <f t="shared" si="0"/>
        <v>2.4</v>
      </c>
      <c r="H8" s="29">
        <v>18</v>
      </c>
      <c r="I8" s="29">
        <v>18</v>
      </c>
      <c r="J8" s="29">
        <v>18</v>
      </c>
      <c r="K8" s="29">
        <v>18</v>
      </c>
      <c r="L8" s="29">
        <v>18</v>
      </c>
      <c r="M8" s="29">
        <v>18</v>
      </c>
      <c r="N8" s="29">
        <v>18</v>
      </c>
      <c r="O8" s="29">
        <v>18</v>
      </c>
      <c r="P8" s="29">
        <v>18</v>
      </c>
      <c r="Q8" s="29">
        <v>18</v>
      </c>
      <c r="S8" s="95" t="s">
        <v>116</v>
      </c>
      <c r="T8" s="25" t="s">
        <v>50</v>
      </c>
      <c r="U8" s="25" t="s">
        <v>64</v>
      </c>
      <c r="V8" s="96">
        <v>3.789704307</v>
      </c>
      <c r="W8" s="96">
        <v>23.305199999999999</v>
      </c>
      <c r="X8" s="96">
        <v>10.93502672</v>
      </c>
    </row>
    <row r="9" spans="1:24" x14ac:dyDescent="0.25">
      <c r="A9" s="27" t="s">
        <v>15</v>
      </c>
      <c r="B9" s="27" t="s">
        <v>24</v>
      </c>
      <c r="C9" s="98" t="s">
        <v>33</v>
      </c>
      <c r="D9" s="98" t="s">
        <v>42</v>
      </c>
      <c r="E9" s="27">
        <v>9</v>
      </c>
      <c r="F9" s="27">
        <f t="shared" si="0"/>
        <v>2.6999999999999997</v>
      </c>
      <c r="H9" s="105" t="s">
        <v>57</v>
      </c>
      <c r="I9" s="105"/>
      <c r="J9" s="105"/>
      <c r="K9" s="105"/>
      <c r="L9" s="105"/>
      <c r="M9" s="105"/>
      <c r="N9" s="105"/>
      <c r="O9" s="105"/>
      <c r="P9" s="105"/>
      <c r="Q9" s="105"/>
      <c r="S9" s="95" t="s">
        <v>117</v>
      </c>
      <c r="T9" s="25" t="s">
        <v>51</v>
      </c>
      <c r="U9" s="25" t="s">
        <v>61</v>
      </c>
      <c r="V9" s="96">
        <v>6.6497122360000001</v>
      </c>
      <c r="W9" s="96">
        <v>21.715869999999999</v>
      </c>
      <c r="X9" s="96">
        <v>40.569278910000001</v>
      </c>
    </row>
    <row r="10" spans="1:24" x14ac:dyDescent="0.25">
      <c r="A10" s="27" t="s">
        <v>16</v>
      </c>
      <c r="B10" s="27" t="s">
        <v>25</v>
      </c>
      <c r="C10" s="27" t="s">
        <v>34</v>
      </c>
      <c r="D10" s="27" t="s">
        <v>43</v>
      </c>
      <c r="E10" s="27">
        <v>10</v>
      </c>
      <c r="F10" s="27">
        <f t="shared" si="0"/>
        <v>3</v>
      </c>
      <c r="H10" s="28" t="s">
        <v>44</v>
      </c>
      <c r="I10" s="28" t="s">
        <v>45</v>
      </c>
      <c r="J10" s="28" t="s">
        <v>46</v>
      </c>
      <c r="K10" s="28" t="s">
        <v>47</v>
      </c>
      <c r="L10" s="28" t="s">
        <v>48</v>
      </c>
      <c r="M10" s="28" t="s">
        <v>49</v>
      </c>
      <c r="N10" s="28" t="s">
        <v>50</v>
      </c>
      <c r="O10" s="28" t="s">
        <v>51</v>
      </c>
      <c r="P10" s="28" t="s">
        <v>52</v>
      </c>
      <c r="Q10" s="28" t="s">
        <v>53</v>
      </c>
      <c r="S10" s="95" t="s">
        <v>118</v>
      </c>
      <c r="T10" s="25" t="s">
        <v>52</v>
      </c>
      <c r="U10" s="25" t="s">
        <v>60</v>
      </c>
      <c r="V10" s="96">
        <v>2.2290367710000001</v>
      </c>
      <c r="W10" s="96">
        <v>24.818930000000002</v>
      </c>
      <c r="X10" s="96">
        <v>14.896404560000001</v>
      </c>
    </row>
    <row r="11" spans="1:24" x14ac:dyDescent="0.25">
      <c r="A11" s="37" t="s">
        <v>71</v>
      </c>
      <c r="B11" s="37">
        <v>300</v>
      </c>
      <c r="C11" s="101" t="s">
        <v>309</v>
      </c>
      <c r="D11" s="102"/>
      <c r="H11" s="105" t="s">
        <v>55</v>
      </c>
      <c r="I11" s="105"/>
      <c r="J11" s="105"/>
      <c r="K11" s="105"/>
      <c r="L11" s="105"/>
      <c r="M11" s="105"/>
      <c r="N11" s="105"/>
      <c r="O11" s="105"/>
      <c r="P11" s="105"/>
      <c r="Q11" s="105"/>
      <c r="S11" s="95" t="s">
        <v>119</v>
      </c>
      <c r="T11" s="25" t="s">
        <v>53</v>
      </c>
      <c r="U11" s="25" t="s">
        <v>288</v>
      </c>
      <c r="V11" s="96">
        <v>8.9468312450000003</v>
      </c>
      <c r="W11" s="96">
        <v>21.919709999999998</v>
      </c>
      <c r="X11" s="96">
        <v>17.8155185</v>
      </c>
    </row>
    <row r="12" spans="1:24" x14ac:dyDescent="0.25">
      <c r="H12" s="4" t="s">
        <v>8</v>
      </c>
      <c r="I12" s="4" t="s">
        <v>9</v>
      </c>
      <c r="J12" s="11" t="s">
        <v>10</v>
      </c>
      <c r="K12" s="11" t="s">
        <v>11</v>
      </c>
      <c r="L12" s="10" t="s">
        <v>12</v>
      </c>
      <c r="M12" s="10" t="s">
        <v>13</v>
      </c>
      <c r="N12" s="12" t="s">
        <v>14</v>
      </c>
      <c r="O12" s="12" t="s">
        <v>15</v>
      </c>
      <c r="P12" s="12" t="s">
        <v>16</v>
      </c>
      <c r="Q12" s="15" t="s">
        <v>43</v>
      </c>
      <c r="U12" s="1" t="s">
        <v>305</v>
      </c>
      <c r="V12" s="97">
        <f>MIN(V2:V11)</f>
        <v>-0.30952381000000001</v>
      </c>
      <c r="W12" s="97">
        <f t="shared" ref="W12:X12" si="1">MIN(W2:W11)</f>
        <v>21.715869999999999</v>
      </c>
      <c r="X12" s="97">
        <f t="shared" si="1"/>
        <v>6.3707602330000004</v>
      </c>
    </row>
    <row r="13" spans="1:24" x14ac:dyDescent="0.25">
      <c r="H13" s="3" t="s">
        <v>26</v>
      </c>
      <c r="I13" s="19"/>
      <c r="J13" s="19"/>
      <c r="K13" s="19"/>
      <c r="L13" s="19"/>
      <c r="M13" s="19"/>
      <c r="N13" s="19"/>
      <c r="O13" s="19"/>
      <c r="P13" s="19"/>
      <c r="Q13" s="8" t="s">
        <v>40</v>
      </c>
      <c r="U13" s="1" t="s">
        <v>306</v>
      </c>
      <c r="V13" s="97">
        <f>MAX(V2:V11)</f>
        <v>11.265374380000001</v>
      </c>
      <c r="W13" s="97">
        <f t="shared" ref="W13:X13" si="2">MAX(W2:W11)</f>
        <v>48.107489999999999</v>
      </c>
      <c r="X13" s="97">
        <f t="shared" si="2"/>
        <v>40.569278910000001</v>
      </c>
    </row>
    <row r="14" spans="1:24" x14ac:dyDescent="0.25">
      <c r="B14" s="46"/>
      <c r="H14" s="14" t="s">
        <v>29</v>
      </c>
      <c r="I14" s="19"/>
      <c r="J14" s="19"/>
      <c r="K14" s="19"/>
      <c r="L14" s="19"/>
      <c r="M14" s="19"/>
      <c r="N14" s="19"/>
      <c r="O14" s="19"/>
      <c r="P14" s="19"/>
      <c r="Q14" s="16" t="s">
        <v>38</v>
      </c>
    </row>
    <row r="15" spans="1:24" x14ac:dyDescent="0.25">
      <c r="B15" s="46"/>
      <c r="H15" s="7" t="s">
        <v>31</v>
      </c>
      <c r="I15" s="19"/>
      <c r="J15" s="19"/>
      <c r="K15" s="19"/>
      <c r="L15" s="19"/>
      <c r="M15" s="19"/>
      <c r="N15" s="19"/>
      <c r="O15" s="19"/>
      <c r="P15" s="19"/>
      <c r="Q15" s="6" t="s">
        <v>35</v>
      </c>
    </row>
    <row r="16" spans="1:24" x14ac:dyDescent="0.25">
      <c r="B16" s="46"/>
      <c r="H16" s="13" t="s">
        <v>34</v>
      </c>
      <c r="I16" s="17" t="s">
        <v>25</v>
      </c>
      <c r="J16" s="17" t="s">
        <v>24</v>
      </c>
      <c r="K16" s="9" t="s">
        <v>23</v>
      </c>
      <c r="L16" s="9" t="s">
        <v>22</v>
      </c>
      <c r="M16" s="18" t="s">
        <v>21</v>
      </c>
      <c r="N16" s="18" t="s">
        <v>20</v>
      </c>
      <c r="O16" s="18" t="s">
        <v>19</v>
      </c>
      <c r="P16" s="5" t="s">
        <v>18</v>
      </c>
      <c r="Q16" s="5" t="s">
        <v>17</v>
      </c>
    </row>
    <row r="17" spans="2:22" x14ac:dyDescent="0.25">
      <c r="B17" s="46"/>
      <c r="H17" s="105" t="s">
        <v>56</v>
      </c>
      <c r="I17" s="105"/>
      <c r="J17" s="105"/>
      <c r="K17" s="105"/>
      <c r="L17" s="105"/>
      <c r="M17" s="105"/>
      <c r="N17" s="105"/>
      <c r="O17" s="105"/>
      <c r="P17" s="105"/>
      <c r="Q17" s="105"/>
    </row>
    <row r="18" spans="2:22" x14ac:dyDescent="0.25">
      <c r="H18" s="22" t="s">
        <v>16</v>
      </c>
      <c r="I18" s="22" t="s">
        <v>15</v>
      </c>
      <c r="J18" s="22" t="s">
        <v>14</v>
      </c>
      <c r="K18" s="21" t="s">
        <v>13</v>
      </c>
      <c r="L18" s="21" t="s">
        <v>12</v>
      </c>
      <c r="M18" s="20" t="s">
        <v>11</v>
      </c>
      <c r="N18" s="20" t="s">
        <v>10</v>
      </c>
      <c r="O18" s="23" t="s">
        <v>9</v>
      </c>
      <c r="P18" s="23" t="s">
        <v>8</v>
      </c>
      <c r="Q18" s="6" t="s">
        <v>35</v>
      </c>
    </row>
    <row r="19" spans="2:22" x14ac:dyDescent="0.25">
      <c r="H19" s="3" t="s">
        <v>26</v>
      </c>
      <c r="I19" s="19"/>
      <c r="J19" s="19"/>
      <c r="K19" s="19"/>
      <c r="L19" s="19"/>
      <c r="M19" s="19"/>
      <c r="N19" s="19"/>
      <c r="O19" s="19"/>
      <c r="P19" s="19"/>
      <c r="Q19" s="24" t="s">
        <v>38</v>
      </c>
    </row>
    <row r="20" spans="2:22" x14ac:dyDescent="0.25">
      <c r="H20" s="14" t="s">
        <v>29</v>
      </c>
      <c r="I20" s="19"/>
      <c r="J20" s="19"/>
      <c r="K20" s="19"/>
      <c r="L20" s="19"/>
      <c r="M20" s="19"/>
      <c r="N20" s="19"/>
      <c r="O20" s="19"/>
      <c r="P20" s="19"/>
      <c r="Q20" s="8" t="s">
        <v>40</v>
      </c>
    </row>
    <row r="21" spans="2:22" x14ac:dyDescent="0.25">
      <c r="H21" s="7" t="s">
        <v>31</v>
      </c>
      <c r="I21" s="19"/>
      <c r="J21" s="19"/>
      <c r="K21" s="19"/>
      <c r="L21" s="19"/>
      <c r="M21" s="19"/>
      <c r="N21" s="19"/>
      <c r="O21" s="19"/>
      <c r="P21" s="19"/>
      <c r="Q21" s="15" t="s">
        <v>43</v>
      </c>
    </row>
    <row r="22" spans="2:22" x14ac:dyDescent="0.25">
      <c r="H22" s="13" t="s">
        <v>34</v>
      </c>
      <c r="I22" s="17" t="s">
        <v>296</v>
      </c>
      <c r="J22" s="17" t="s">
        <v>297</v>
      </c>
      <c r="K22" s="9" t="s">
        <v>298</v>
      </c>
      <c r="L22" s="9" t="s">
        <v>299</v>
      </c>
      <c r="M22" s="18" t="s">
        <v>300</v>
      </c>
      <c r="N22" s="18" t="s">
        <v>301</v>
      </c>
      <c r="O22" s="18" t="s">
        <v>302</v>
      </c>
      <c r="P22" s="5" t="s">
        <v>303</v>
      </c>
      <c r="Q22" s="5" t="s">
        <v>304</v>
      </c>
    </row>
    <row r="24" spans="2:22" x14ac:dyDescent="0.25">
      <c r="H24" s="103" t="s">
        <v>109</v>
      </c>
      <c r="I24" s="103"/>
      <c r="J24" s="103"/>
      <c r="K24" s="103"/>
      <c r="L24" s="103"/>
      <c r="M24" s="103"/>
      <c r="N24" s="103"/>
      <c r="O24" s="103"/>
      <c r="P24" s="103"/>
      <c r="Q24" s="103"/>
    </row>
    <row r="25" spans="2:22" x14ac:dyDescent="0.25">
      <c r="H25" s="1" t="s">
        <v>110</v>
      </c>
      <c r="I25" s="1" t="s">
        <v>111</v>
      </c>
      <c r="J25" s="1" t="s">
        <v>112</v>
      </c>
      <c r="K25" s="1" t="s">
        <v>113</v>
      </c>
      <c r="L25" s="1" t="s">
        <v>114</v>
      </c>
      <c r="M25" s="1" t="s">
        <v>115</v>
      </c>
      <c r="N25" s="1" t="s">
        <v>116</v>
      </c>
      <c r="O25" s="1" t="s">
        <v>117</v>
      </c>
      <c r="P25" s="1" t="s">
        <v>118</v>
      </c>
      <c r="Q25" s="1" t="s">
        <v>119</v>
      </c>
      <c r="U25"/>
      <c r="V25" s="1"/>
    </row>
    <row r="26" spans="2:22" x14ac:dyDescent="0.25">
      <c r="F26" s="50" t="s">
        <v>280</v>
      </c>
      <c r="G26">
        <v>1</v>
      </c>
      <c r="H26" s="26" t="s">
        <v>120</v>
      </c>
      <c r="I26" s="26" t="s">
        <v>136</v>
      </c>
      <c r="J26" s="26" t="s">
        <v>152</v>
      </c>
      <c r="K26" s="26" t="s">
        <v>168</v>
      </c>
      <c r="L26" s="26" t="s">
        <v>184</v>
      </c>
      <c r="M26" s="26" t="s">
        <v>200</v>
      </c>
      <c r="N26" s="26" t="s">
        <v>216</v>
      </c>
      <c r="O26" s="26" t="s">
        <v>232</v>
      </c>
      <c r="P26" s="26" t="s">
        <v>248</v>
      </c>
      <c r="Q26" s="26" t="s">
        <v>264</v>
      </c>
    </row>
    <row r="27" spans="2:22" x14ac:dyDescent="0.25">
      <c r="F27" s="50" t="s">
        <v>310</v>
      </c>
      <c r="G27">
        <v>2</v>
      </c>
      <c r="H27" s="60" t="s">
        <v>121</v>
      </c>
      <c r="I27" s="60" t="s">
        <v>137</v>
      </c>
      <c r="J27" s="60" t="s">
        <v>153</v>
      </c>
      <c r="K27" s="60" t="s">
        <v>169</v>
      </c>
      <c r="L27" s="60" t="s">
        <v>185</v>
      </c>
      <c r="M27" s="60" t="s">
        <v>201</v>
      </c>
      <c r="N27" s="60" t="s">
        <v>217</v>
      </c>
      <c r="O27" s="60" t="s">
        <v>233</v>
      </c>
      <c r="P27" s="60" t="s">
        <v>249</v>
      </c>
      <c r="Q27" s="60" t="s">
        <v>265</v>
      </c>
    </row>
    <row r="28" spans="2:22" x14ac:dyDescent="0.25">
      <c r="F28" s="90" t="s">
        <v>311</v>
      </c>
      <c r="G28">
        <v>3</v>
      </c>
      <c r="H28" s="61" t="s">
        <v>122</v>
      </c>
      <c r="I28" s="61" t="s">
        <v>138</v>
      </c>
      <c r="J28" s="61" t="s">
        <v>154</v>
      </c>
      <c r="K28" s="61" t="s">
        <v>170</v>
      </c>
      <c r="L28" s="61" t="s">
        <v>186</v>
      </c>
      <c r="M28" s="61" t="s">
        <v>202</v>
      </c>
      <c r="N28" s="61" t="s">
        <v>218</v>
      </c>
      <c r="O28" s="61" t="s">
        <v>234</v>
      </c>
      <c r="P28" s="61" t="s">
        <v>250</v>
      </c>
      <c r="Q28" s="61" t="s">
        <v>266</v>
      </c>
    </row>
    <row r="29" spans="2:22" x14ac:dyDescent="0.25">
      <c r="G29">
        <v>4</v>
      </c>
      <c r="H29" s="62" t="s">
        <v>123</v>
      </c>
      <c r="I29" s="62" t="s">
        <v>139</v>
      </c>
      <c r="J29" s="62" t="s">
        <v>155</v>
      </c>
      <c r="K29" s="62" t="s">
        <v>171</v>
      </c>
      <c r="L29" s="62" t="s">
        <v>187</v>
      </c>
      <c r="M29" s="62" t="s">
        <v>203</v>
      </c>
      <c r="N29" s="62" t="s">
        <v>219</v>
      </c>
      <c r="O29" s="62" t="s">
        <v>235</v>
      </c>
      <c r="P29" s="62" t="s">
        <v>251</v>
      </c>
      <c r="Q29" s="62" t="s">
        <v>267</v>
      </c>
    </row>
    <row r="30" spans="2:22" x14ac:dyDescent="0.25">
      <c r="G30">
        <v>5</v>
      </c>
      <c r="H30" s="63" t="s">
        <v>124</v>
      </c>
      <c r="I30" s="63" t="s">
        <v>140</v>
      </c>
      <c r="J30" s="63" t="s">
        <v>156</v>
      </c>
      <c r="K30" s="63" t="s">
        <v>172</v>
      </c>
      <c r="L30" s="63" t="s">
        <v>188</v>
      </c>
      <c r="M30" s="63" t="s">
        <v>204</v>
      </c>
      <c r="N30" s="63" t="s">
        <v>220</v>
      </c>
      <c r="O30" s="63" t="s">
        <v>236</v>
      </c>
      <c r="P30" s="63" t="s">
        <v>252</v>
      </c>
      <c r="Q30" s="63" t="s">
        <v>268</v>
      </c>
    </row>
    <row r="31" spans="2:22" x14ac:dyDescent="0.25">
      <c r="G31">
        <v>6</v>
      </c>
      <c r="H31" s="64" t="s">
        <v>125</v>
      </c>
      <c r="I31" s="64" t="s">
        <v>141</v>
      </c>
      <c r="J31" s="64" t="s">
        <v>157</v>
      </c>
      <c r="K31" s="64" t="s">
        <v>173</v>
      </c>
      <c r="L31" s="64" t="s">
        <v>189</v>
      </c>
      <c r="M31" s="64" t="s">
        <v>205</v>
      </c>
      <c r="N31" s="64" t="s">
        <v>221</v>
      </c>
      <c r="O31" s="64" t="s">
        <v>237</v>
      </c>
      <c r="P31" s="64" t="s">
        <v>253</v>
      </c>
      <c r="Q31" s="64" t="s">
        <v>269</v>
      </c>
    </row>
    <row r="32" spans="2:22" x14ac:dyDescent="0.25">
      <c r="G32">
        <v>7</v>
      </c>
      <c r="H32" s="65" t="s">
        <v>126</v>
      </c>
      <c r="I32" s="65" t="s">
        <v>142</v>
      </c>
      <c r="J32" s="74" t="s">
        <v>158</v>
      </c>
      <c r="K32" s="74" t="s">
        <v>174</v>
      </c>
      <c r="L32" s="75" t="s">
        <v>190</v>
      </c>
      <c r="M32" s="75" t="s">
        <v>206</v>
      </c>
      <c r="N32" s="76" t="s">
        <v>222</v>
      </c>
      <c r="O32" s="76" t="s">
        <v>238</v>
      </c>
      <c r="P32" s="76" t="s">
        <v>254</v>
      </c>
      <c r="Q32" s="77" t="s">
        <v>270</v>
      </c>
    </row>
    <row r="33" spans="7:17" x14ac:dyDescent="0.25">
      <c r="G33">
        <v>8</v>
      </c>
      <c r="H33" s="34" t="s">
        <v>127</v>
      </c>
      <c r="I33" s="86" t="s">
        <v>143</v>
      </c>
      <c r="J33" s="68" t="s">
        <v>159</v>
      </c>
      <c r="K33" s="68" t="s">
        <v>175</v>
      </c>
      <c r="L33" s="68" t="s">
        <v>191</v>
      </c>
      <c r="M33" s="68" t="s">
        <v>207</v>
      </c>
      <c r="N33" s="68" t="s">
        <v>223</v>
      </c>
      <c r="O33" s="68" t="s">
        <v>239</v>
      </c>
      <c r="P33" s="68" t="s">
        <v>255</v>
      </c>
      <c r="Q33" s="78" t="s">
        <v>271</v>
      </c>
    </row>
    <row r="34" spans="7:17" x14ac:dyDescent="0.25">
      <c r="G34">
        <v>9</v>
      </c>
      <c r="H34" s="66" t="s">
        <v>128</v>
      </c>
      <c r="I34" s="68" t="s">
        <v>144</v>
      </c>
      <c r="J34" s="86" t="s">
        <v>160</v>
      </c>
      <c r="K34" s="68" t="s">
        <v>176</v>
      </c>
      <c r="L34" s="68" t="s">
        <v>192</v>
      </c>
      <c r="M34" s="68" t="s">
        <v>208</v>
      </c>
      <c r="N34" s="86" t="s">
        <v>224</v>
      </c>
      <c r="O34" s="68" t="s">
        <v>240</v>
      </c>
      <c r="P34" s="68" t="s">
        <v>256</v>
      </c>
      <c r="Q34" s="49" t="s">
        <v>272</v>
      </c>
    </row>
    <row r="35" spans="7:17" x14ac:dyDescent="0.25">
      <c r="G35">
        <v>10</v>
      </c>
      <c r="H35" s="2" t="s">
        <v>129</v>
      </c>
      <c r="I35" s="68" t="s">
        <v>145</v>
      </c>
      <c r="J35" s="68" t="s">
        <v>161</v>
      </c>
      <c r="K35" s="86" t="s">
        <v>177</v>
      </c>
      <c r="L35" s="68" t="s">
        <v>193</v>
      </c>
      <c r="M35" s="86" t="s">
        <v>209</v>
      </c>
      <c r="N35" s="68" t="s">
        <v>225</v>
      </c>
      <c r="O35" s="68" t="s">
        <v>241</v>
      </c>
      <c r="P35" s="68" t="s">
        <v>257</v>
      </c>
      <c r="Q35" s="48" t="s">
        <v>273</v>
      </c>
    </row>
    <row r="36" spans="7:17" x14ac:dyDescent="0.25">
      <c r="G36">
        <v>11</v>
      </c>
      <c r="H36" s="67" t="s">
        <v>130</v>
      </c>
      <c r="I36" s="69" t="s">
        <v>146</v>
      </c>
      <c r="J36" s="69" t="s">
        <v>162</v>
      </c>
      <c r="K36" s="79" t="s">
        <v>178</v>
      </c>
      <c r="L36" s="79" t="s">
        <v>194</v>
      </c>
      <c r="M36" s="80" t="s">
        <v>210</v>
      </c>
      <c r="N36" s="80" t="s">
        <v>226</v>
      </c>
      <c r="O36" s="80" t="s">
        <v>242</v>
      </c>
      <c r="P36" s="81" t="s">
        <v>258</v>
      </c>
      <c r="Q36" s="81" t="s">
        <v>274</v>
      </c>
    </row>
    <row r="37" spans="7:17" x14ac:dyDescent="0.25">
      <c r="G37">
        <v>12</v>
      </c>
      <c r="H37" s="59" t="s">
        <v>131</v>
      </c>
      <c r="I37" s="59" t="s">
        <v>147</v>
      </c>
      <c r="J37" s="59" t="s">
        <v>163</v>
      </c>
      <c r="K37" s="70" t="s">
        <v>179</v>
      </c>
      <c r="L37" s="70" t="s">
        <v>195</v>
      </c>
      <c r="M37" s="71" t="s">
        <v>211</v>
      </c>
      <c r="N37" s="71" t="s">
        <v>227</v>
      </c>
      <c r="O37" s="72" t="s">
        <v>243</v>
      </c>
      <c r="P37" s="72" t="s">
        <v>259</v>
      </c>
      <c r="Q37" s="48" t="s">
        <v>275</v>
      </c>
    </row>
    <row r="38" spans="7:17" x14ac:dyDescent="0.25">
      <c r="G38">
        <v>13</v>
      </c>
      <c r="H38" s="34" t="s">
        <v>132</v>
      </c>
      <c r="I38" s="86" t="s">
        <v>148</v>
      </c>
      <c r="J38" s="68" t="s">
        <v>164</v>
      </c>
      <c r="K38" s="68" t="s">
        <v>180</v>
      </c>
      <c r="L38" s="68" t="s">
        <v>196</v>
      </c>
      <c r="M38" s="68" t="s">
        <v>212</v>
      </c>
      <c r="N38" s="68" t="s">
        <v>228</v>
      </c>
      <c r="O38" s="68" t="s">
        <v>244</v>
      </c>
      <c r="P38" s="68" t="s">
        <v>260</v>
      </c>
      <c r="Q38" s="73" t="s">
        <v>276</v>
      </c>
    </row>
    <row r="39" spans="7:17" x14ac:dyDescent="0.25">
      <c r="G39">
        <v>14</v>
      </c>
      <c r="H39" s="66" t="s">
        <v>133</v>
      </c>
      <c r="I39" s="68" t="s">
        <v>149</v>
      </c>
      <c r="J39" s="86" t="s">
        <v>165</v>
      </c>
      <c r="K39" s="68" t="s">
        <v>181</v>
      </c>
      <c r="L39" s="68" t="s">
        <v>197</v>
      </c>
      <c r="M39" s="68" t="s">
        <v>213</v>
      </c>
      <c r="N39" s="86" t="s">
        <v>229</v>
      </c>
      <c r="O39" s="68" t="s">
        <v>245</v>
      </c>
      <c r="P39" s="68" t="s">
        <v>261</v>
      </c>
      <c r="Q39" s="78" t="s">
        <v>277</v>
      </c>
    </row>
    <row r="40" spans="7:17" x14ac:dyDescent="0.25">
      <c r="G40">
        <v>15</v>
      </c>
      <c r="H40" s="2" t="s">
        <v>134</v>
      </c>
      <c r="I40" s="68" t="s">
        <v>150</v>
      </c>
      <c r="J40" s="68" t="s">
        <v>166</v>
      </c>
      <c r="K40" s="86" t="s">
        <v>182</v>
      </c>
      <c r="L40" s="68" t="s">
        <v>198</v>
      </c>
      <c r="M40" s="86" t="s">
        <v>214</v>
      </c>
      <c r="N40" s="68" t="s">
        <v>230</v>
      </c>
      <c r="O40" s="68" t="s">
        <v>246</v>
      </c>
      <c r="P40" s="68" t="s">
        <v>262</v>
      </c>
      <c r="Q40" s="77" t="s">
        <v>278</v>
      </c>
    </row>
    <row r="41" spans="7:17" x14ac:dyDescent="0.25">
      <c r="G41">
        <v>16</v>
      </c>
      <c r="H41" s="67" t="s">
        <v>135</v>
      </c>
      <c r="I41" s="69" t="s">
        <v>151</v>
      </c>
      <c r="J41" s="69" t="s">
        <v>167</v>
      </c>
      <c r="K41" s="79" t="s">
        <v>183</v>
      </c>
      <c r="L41" s="79" t="s">
        <v>199</v>
      </c>
      <c r="M41" s="80" t="s">
        <v>215</v>
      </c>
      <c r="N41" s="80" t="s">
        <v>231</v>
      </c>
      <c r="O41" s="80" t="s">
        <v>247</v>
      </c>
      <c r="P41" s="81" t="s">
        <v>263</v>
      </c>
      <c r="Q41" s="81" t="s">
        <v>279</v>
      </c>
    </row>
  </sheetData>
  <mergeCells count="7">
    <mergeCell ref="C11:D11"/>
    <mergeCell ref="H24:Q24"/>
    <mergeCell ref="H1:Q1"/>
    <mergeCell ref="H11:Q11"/>
    <mergeCell ref="H17:Q17"/>
    <mergeCell ref="H9:Q9"/>
    <mergeCell ref="H3:Q3"/>
  </mergeCells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BD4CD-C240-4D4A-81CB-6A76A722E68B}">
  <dimension ref="A1:AW44"/>
  <sheetViews>
    <sheetView topLeftCell="T10" workbookViewId="0">
      <selection activeCell="C8" activeCellId="2" sqref="C3:D4 C6:D6 C8:D9"/>
    </sheetView>
  </sheetViews>
  <sheetFormatPr defaultRowHeight="15" x14ac:dyDescent="0.25"/>
  <cols>
    <col min="5" max="5" width="30.7109375" customWidth="1"/>
    <col min="17" max="17" width="4.5703125" customWidth="1"/>
    <col min="18" max="25" width="9.5703125" bestFit="1" customWidth="1"/>
    <col min="26" max="26" width="10.5703125" bestFit="1" customWidth="1"/>
    <col min="27" max="27" width="9.28515625" bestFit="1" customWidth="1"/>
    <col min="28" max="28" width="3.5703125" customWidth="1"/>
    <col min="39" max="39" width="5" customWidth="1"/>
    <col min="40" max="49" width="9.5703125" bestFit="1" customWidth="1"/>
  </cols>
  <sheetData>
    <row r="1" spans="1:49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54</v>
      </c>
      <c r="G1" s="109" t="s">
        <v>77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t="s">
        <v>81</v>
      </c>
      <c r="AC1" s="110" t="s">
        <v>78</v>
      </c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</row>
    <row r="2" spans="1:49" x14ac:dyDescent="0.25">
      <c r="A2" s="26" t="s">
        <v>8</v>
      </c>
      <c r="B2" s="26" t="s">
        <v>17</v>
      </c>
      <c r="C2" s="26" t="s">
        <v>26</v>
      </c>
      <c r="D2" s="26" t="s">
        <v>35</v>
      </c>
      <c r="E2" s="26">
        <v>2</v>
      </c>
      <c r="G2" s="108" t="s">
        <v>75</v>
      </c>
      <c r="H2" s="108"/>
      <c r="I2" s="108"/>
      <c r="J2" s="108"/>
      <c r="K2" s="108"/>
      <c r="L2" s="108"/>
      <c r="M2" s="108"/>
      <c r="N2" s="108"/>
      <c r="O2" s="108"/>
      <c r="P2" s="108"/>
      <c r="R2" s="111" t="s">
        <v>83</v>
      </c>
      <c r="S2" s="111"/>
      <c r="T2" s="111"/>
      <c r="U2" s="111"/>
      <c r="V2" s="111"/>
      <c r="W2" s="111"/>
      <c r="X2" s="111"/>
      <c r="Y2" s="111"/>
      <c r="Z2" s="111"/>
      <c r="AA2" s="111"/>
      <c r="AC2" s="111" t="s">
        <v>75</v>
      </c>
      <c r="AD2" s="111"/>
      <c r="AE2" s="111"/>
      <c r="AF2" s="111"/>
      <c r="AG2" s="111"/>
      <c r="AH2" s="111"/>
      <c r="AI2" s="111"/>
      <c r="AJ2" s="111"/>
      <c r="AK2" s="111"/>
      <c r="AL2" s="111"/>
      <c r="AN2" s="111" t="s">
        <v>83</v>
      </c>
      <c r="AO2" s="111"/>
      <c r="AP2" s="111"/>
      <c r="AQ2" s="111"/>
      <c r="AR2" s="111"/>
      <c r="AS2" s="111"/>
      <c r="AT2" s="111"/>
      <c r="AU2" s="111"/>
      <c r="AV2" s="111"/>
      <c r="AW2" s="111"/>
    </row>
    <row r="3" spans="1:49" x14ac:dyDescent="0.25">
      <c r="A3" s="26" t="s">
        <v>9</v>
      </c>
      <c r="B3" s="26" t="s">
        <v>18</v>
      </c>
      <c r="C3" s="99" t="s">
        <v>27</v>
      </c>
      <c r="D3" s="99" t="s">
        <v>36</v>
      </c>
      <c r="E3" s="26">
        <v>3</v>
      </c>
      <c r="G3" s="28" t="s">
        <v>44</v>
      </c>
      <c r="H3" s="28" t="s">
        <v>45</v>
      </c>
      <c r="I3" s="28" t="s">
        <v>46</v>
      </c>
      <c r="J3" s="28" t="s">
        <v>47</v>
      </c>
      <c r="K3" s="28" t="s">
        <v>48</v>
      </c>
      <c r="L3" s="28" t="s">
        <v>49</v>
      </c>
      <c r="M3" s="28" t="s">
        <v>50</v>
      </c>
      <c r="N3" s="28" t="s">
        <v>51</v>
      </c>
      <c r="O3" s="28" t="s">
        <v>52</v>
      </c>
      <c r="P3" s="28" t="s">
        <v>53</v>
      </c>
      <c r="R3" s="28" t="s">
        <v>44</v>
      </c>
      <c r="S3" s="28" t="s">
        <v>45</v>
      </c>
      <c r="T3" s="28" t="s">
        <v>46</v>
      </c>
      <c r="U3" s="28" t="s">
        <v>47</v>
      </c>
      <c r="V3" s="28" t="s">
        <v>48</v>
      </c>
      <c r="W3" s="28" t="s">
        <v>49</v>
      </c>
      <c r="X3" s="28" t="s">
        <v>50</v>
      </c>
      <c r="Y3" s="28" t="s">
        <v>51</v>
      </c>
      <c r="Z3" s="28" t="s">
        <v>52</v>
      </c>
      <c r="AA3" s="28" t="s">
        <v>53</v>
      </c>
      <c r="AC3" s="28" t="s">
        <v>44</v>
      </c>
      <c r="AD3" s="28" t="s">
        <v>45</v>
      </c>
      <c r="AE3" s="28" t="s">
        <v>46</v>
      </c>
      <c r="AF3" s="28" t="s">
        <v>47</v>
      </c>
      <c r="AG3" s="28" t="s">
        <v>48</v>
      </c>
      <c r="AH3" s="28" t="s">
        <v>49</v>
      </c>
      <c r="AI3" s="28" t="s">
        <v>50</v>
      </c>
      <c r="AJ3" s="28" t="s">
        <v>51</v>
      </c>
      <c r="AK3" s="28" t="s">
        <v>52</v>
      </c>
      <c r="AL3" s="28" t="s">
        <v>53</v>
      </c>
      <c r="AN3" s="28" t="s">
        <v>44</v>
      </c>
      <c r="AO3" s="28" t="s">
        <v>45</v>
      </c>
      <c r="AP3" s="28" t="s">
        <v>46</v>
      </c>
      <c r="AQ3" s="28" t="s">
        <v>47</v>
      </c>
      <c r="AR3" s="28" t="s">
        <v>48</v>
      </c>
      <c r="AS3" s="28" t="s">
        <v>49</v>
      </c>
      <c r="AT3" s="28" t="s">
        <v>50</v>
      </c>
      <c r="AU3" s="28" t="s">
        <v>51</v>
      </c>
      <c r="AV3" s="28" t="s">
        <v>52</v>
      </c>
      <c r="AW3" s="28" t="s">
        <v>53</v>
      </c>
    </row>
    <row r="4" spans="1:49" x14ac:dyDescent="0.25">
      <c r="A4" s="26" t="s">
        <v>10</v>
      </c>
      <c r="B4" s="26" t="s">
        <v>19</v>
      </c>
      <c r="C4" s="99" t="s">
        <v>28</v>
      </c>
      <c r="D4" s="99" t="s">
        <v>37</v>
      </c>
      <c r="E4" s="26">
        <v>4</v>
      </c>
      <c r="G4" s="40">
        <v>20</v>
      </c>
      <c r="H4" s="40">
        <v>20</v>
      </c>
      <c r="I4" s="40">
        <v>20</v>
      </c>
      <c r="J4" s="40">
        <v>20</v>
      </c>
      <c r="K4" s="40">
        <v>20</v>
      </c>
      <c r="L4" s="40">
        <v>20</v>
      </c>
      <c r="M4" s="40">
        <v>20</v>
      </c>
      <c r="N4" s="40">
        <v>20</v>
      </c>
      <c r="O4" s="40">
        <v>20</v>
      </c>
      <c r="P4" s="40">
        <v>20</v>
      </c>
      <c r="R4" s="42">
        <f>G4/G39</f>
        <v>0.90909090909090906</v>
      </c>
      <c r="S4" s="42">
        <f t="shared" ref="S4:S8" si="0">H4/H39</f>
        <v>0.86956521739130432</v>
      </c>
      <c r="T4" s="42">
        <f t="shared" ref="T4:T8" si="1">I4/I39</f>
        <v>0.83333333333333337</v>
      </c>
      <c r="U4" s="42">
        <f t="shared" ref="U4:U8" si="2">J4/J39</f>
        <v>0.8</v>
      </c>
      <c r="V4" s="42">
        <f t="shared" ref="V4:V8" si="3">K4/K39</f>
        <v>0.76923076923076927</v>
      </c>
      <c r="W4" s="42">
        <f t="shared" ref="W4:W8" si="4">L4/L39</f>
        <v>0.7407407407407407</v>
      </c>
      <c r="X4" s="42">
        <f t="shared" ref="X4:X8" si="5">M4/M39</f>
        <v>0.7142857142857143</v>
      </c>
      <c r="Y4" s="42">
        <f t="shared" ref="Y4:Y8" si="6">N4/N39</f>
        <v>0.68965517241379315</v>
      </c>
      <c r="Z4" s="42">
        <f t="shared" ref="Z4:Z8" si="7">O4/O39</f>
        <v>0.66666666666666663</v>
      </c>
      <c r="AA4" s="42">
        <f t="shared" ref="AA4:AA8" si="8">P4/P39</f>
        <v>0.66666666666666663</v>
      </c>
      <c r="AC4" s="84">
        <v>30</v>
      </c>
      <c r="AD4" s="84">
        <v>30</v>
      </c>
      <c r="AE4" s="84">
        <v>30</v>
      </c>
      <c r="AF4" s="84">
        <v>30</v>
      </c>
      <c r="AG4" s="84">
        <v>30</v>
      </c>
      <c r="AH4" s="84">
        <v>30</v>
      </c>
      <c r="AI4" s="84">
        <v>30</v>
      </c>
      <c r="AJ4" s="84">
        <v>30</v>
      </c>
      <c r="AK4" s="84">
        <v>30</v>
      </c>
      <c r="AL4" s="84">
        <v>30</v>
      </c>
      <c r="AN4" s="42">
        <f>AC4/AC39</f>
        <v>0.75</v>
      </c>
      <c r="AO4" s="42">
        <f t="shared" ref="AO4:AW8" si="9">AD4/AD39</f>
        <v>0.76923076923076927</v>
      </c>
      <c r="AP4" s="42">
        <f t="shared" si="9"/>
        <v>0.78947368421052633</v>
      </c>
      <c r="AQ4" s="42">
        <f t="shared" si="9"/>
        <v>0.81081081081081086</v>
      </c>
      <c r="AR4" s="42">
        <f t="shared" si="9"/>
        <v>0.83333333333333337</v>
      </c>
      <c r="AS4" s="42">
        <f t="shared" si="9"/>
        <v>0.8571428571428571</v>
      </c>
      <c r="AT4" s="42">
        <f t="shared" si="9"/>
        <v>0.88235294117647056</v>
      </c>
      <c r="AU4" s="42">
        <f t="shared" si="9"/>
        <v>0.90909090909090906</v>
      </c>
      <c r="AV4" s="42">
        <f t="shared" si="9"/>
        <v>0.9375</v>
      </c>
      <c r="AW4" s="42">
        <f t="shared" si="9"/>
        <v>0.9375</v>
      </c>
    </row>
    <row r="5" spans="1:49" x14ac:dyDescent="0.25">
      <c r="A5" s="26" t="s">
        <v>11</v>
      </c>
      <c r="B5" s="26" t="s">
        <v>20</v>
      </c>
      <c r="C5" s="26" t="s">
        <v>29</v>
      </c>
      <c r="D5" s="26" t="s">
        <v>38</v>
      </c>
      <c r="E5" s="26">
        <v>5</v>
      </c>
      <c r="G5" s="40">
        <v>20</v>
      </c>
      <c r="H5" s="40">
        <v>20</v>
      </c>
      <c r="I5" s="40">
        <v>20</v>
      </c>
      <c r="J5" s="40">
        <v>20</v>
      </c>
      <c r="K5" s="40">
        <v>20</v>
      </c>
      <c r="L5" s="40">
        <v>20</v>
      </c>
      <c r="M5" s="40">
        <v>20</v>
      </c>
      <c r="N5" s="40">
        <v>20</v>
      </c>
      <c r="O5" s="40">
        <v>20</v>
      </c>
      <c r="P5" s="40">
        <v>20</v>
      </c>
      <c r="R5" s="42">
        <f t="shared" ref="R5:R8" si="10">G5/G40</f>
        <v>0.90909090909090906</v>
      </c>
      <c r="S5" s="42">
        <f t="shared" si="0"/>
        <v>0.47619047619047616</v>
      </c>
      <c r="T5" s="42">
        <f t="shared" si="1"/>
        <v>0.47619047619047616</v>
      </c>
      <c r="U5" s="42">
        <f t="shared" si="2"/>
        <v>0.47619047619047616</v>
      </c>
      <c r="V5" s="42">
        <f t="shared" si="3"/>
        <v>0.47619047619047616</v>
      </c>
      <c r="W5" s="42">
        <f t="shared" si="4"/>
        <v>0.47619047619047616</v>
      </c>
      <c r="X5" s="42">
        <f t="shared" si="5"/>
        <v>0.47619047619047616</v>
      </c>
      <c r="Y5" s="42">
        <f t="shared" si="6"/>
        <v>0.47619047619047616</v>
      </c>
      <c r="Z5" s="42">
        <f t="shared" si="7"/>
        <v>0.47619047619047616</v>
      </c>
      <c r="AA5" s="42">
        <f t="shared" si="8"/>
        <v>0.7407407407407407</v>
      </c>
      <c r="AC5" s="84">
        <v>30</v>
      </c>
      <c r="AD5" s="40">
        <v>20</v>
      </c>
      <c r="AE5" s="40">
        <v>20</v>
      </c>
      <c r="AF5" s="40">
        <v>20</v>
      </c>
      <c r="AG5" s="40">
        <v>20</v>
      </c>
      <c r="AH5" s="40">
        <v>20</v>
      </c>
      <c r="AI5" s="40">
        <v>20</v>
      </c>
      <c r="AJ5" s="40">
        <v>20</v>
      </c>
      <c r="AK5" s="40">
        <v>20</v>
      </c>
      <c r="AL5" s="84">
        <v>30</v>
      </c>
      <c r="AN5" s="42">
        <f t="shared" ref="AN5:AN8" si="11">AC5/AC40</f>
        <v>0.81081081081081086</v>
      </c>
      <c r="AO5" s="42">
        <f t="shared" si="9"/>
        <v>0.43478260869565216</v>
      </c>
      <c r="AP5" s="42">
        <f t="shared" si="9"/>
        <v>0.45454545454545453</v>
      </c>
      <c r="AQ5" s="42">
        <f t="shared" si="9"/>
        <v>0.47619047619047616</v>
      </c>
      <c r="AR5" s="42">
        <f t="shared" si="9"/>
        <v>0.5</v>
      </c>
      <c r="AS5" s="42">
        <f t="shared" si="9"/>
        <v>0.52631578947368418</v>
      </c>
      <c r="AT5" s="42">
        <f t="shared" si="9"/>
        <v>0.55555555555555558</v>
      </c>
      <c r="AU5" s="42">
        <f t="shared" si="9"/>
        <v>0.58823529411764708</v>
      </c>
      <c r="AV5" s="42">
        <f t="shared" si="9"/>
        <v>0.625</v>
      </c>
      <c r="AW5" s="42">
        <f t="shared" si="9"/>
        <v>0.8571428571428571</v>
      </c>
    </row>
    <row r="6" spans="1:49" x14ac:dyDescent="0.25">
      <c r="A6" s="26" t="s">
        <v>12</v>
      </c>
      <c r="B6" s="26" t="s">
        <v>21</v>
      </c>
      <c r="C6" s="99" t="s">
        <v>30</v>
      </c>
      <c r="D6" s="99" t="s">
        <v>39</v>
      </c>
      <c r="E6" s="26">
        <v>6</v>
      </c>
      <c r="G6" s="40">
        <v>20</v>
      </c>
      <c r="H6" s="40">
        <v>20</v>
      </c>
      <c r="I6" s="40">
        <v>20</v>
      </c>
      <c r="J6" s="40">
        <v>20</v>
      </c>
      <c r="K6" s="40">
        <v>20</v>
      </c>
      <c r="L6" s="40">
        <v>20</v>
      </c>
      <c r="M6" s="40">
        <v>20</v>
      </c>
      <c r="N6" s="40">
        <v>20</v>
      </c>
      <c r="O6" s="40">
        <v>20</v>
      </c>
      <c r="P6" s="40">
        <v>20</v>
      </c>
      <c r="R6" s="42">
        <f t="shared" si="10"/>
        <v>0.8</v>
      </c>
      <c r="S6" s="42">
        <f t="shared" si="0"/>
        <v>0.46511627906976744</v>
      </c>
      <c r="T6" s="42">
        <f t="shared" si="1"/>
        <v>0.46511627906976744</v>
      </c>
      <c r="U6" s="42">
        <f t="shared" si="2"/>
        <v>0.46511627906976744</v>
      </c>
      <c r="V6" s="42">
        <f t="shared" si="3"/>
        <v>0.46511627906976744</v>
      </c>
      <c r="W6" s="42">
        <f t="shared" si="4"/>
        <v>0.46511627906976744</v>
      </c>
      <c r="X6" s="42">
        <f t="shared" si="5"/>
        <v>0.46511627906976744</v>
      </c>
      <c r="Y6" s="42">
        <f t="shared" si="6"/>
        <v>0.46511627906976744</v>
      </c>
      <c r="Z6" s="42">
        <f t="shared" si="7"/>
        <v>0.46511627906976744</v>
      </c>
      <c r="AA6" s="42">
        <f t="shared" si="8"/>
        <v>0.8</v>
      </c>
      <c r="AC6" s="84">
        <v>30</v>
      </c>
      <c r="AD6" s="40">
        <v>20</v>
      </c>
      <c r="AE6" s="40">
        <v>20</v>
      </c>
      <c r="AF6" s="40">
        <v>20</v>
      </c>
      <c r="AG6" s="40">
        <v>20</v>
      </c>
      <c r="AH6" s="40">
        <v>20</v>
      </c>
      <c r="AI6" s="40">
        <v>20</v>
      </c>
      <c r="AJ6" s="40">
        <v>20</v>
      </c>
      <c r="AK6" s="40">
        <v>20</v>
      </c>
      <c r="AL6" s="84">
        <v>30</v>
      </c>
      <c r="AN6" s="42">
        <f t="shared" si="11"/>
        <v>0.7142857142857143</v>
      </c>
      <c r="AO6" s="42">
        <f t="shared" si="9"/>
        <v>0.39215686274509803</v>
      </c>
      <c r="AP6" s="42">
        <f t="shared" si="9"/>
        <v>0.40816326530612246</v>
      </c>
      <c r="AQ6" s="42">
        <f t="shared" si="9"/>
        <v>0.42553191489361702</v>
      </c>
      <c r="AR6" s="42">
        <f t="shared" si="9"/>
        <v>0.44444444444444442</v>
      </c>
      <c r="AS6" s="42">
        <f t="shared" si="9"/>
        <v>0.46511627906976744</v>
      </c>
      <c r="AT6" s="42">
        <f t="shared" si="9"/>
        <v>0.48780487804878048</v>
      </c>
      <c r="AU6" s="42">
        <f t="shared" si="9"/>
        <v>0.51282051282051277</v>
      </c>
      <c r="AV6" s="42">
        <f t="shared" si="9"/>
        <v>0.54054054054054057</v>
      </c>
      <c r="AW6" s="42">
        <f t="shared" si="9"/>
        <v>0.81081081081081086</v>
      </c>
    </row>
    <row r="7" spans="1:49" x14ac:dyDescent="0.25">
      <c r="A7" s="26" t="s">
        <v>13</v>
      </c>
      <c r="B7" s="26" t="s">
        <v>22</v>
      </c>
      <c r="C7" s="26" t="s">
        <v>31</v>
      </c>
      <c r="D7" s="26" t="s">
        <v>40</v>
      </c>
      <c r="E7" s="26">
        <v>7</v>
      </c>
      <c r="G7" s="40">
        <v>20</v>
      </c>
      <c r="H7" s="40">
        <v>20</v>
      </c>
      <c r="I7" s="40">
        <v>20</v>
      </c>
      <c r="J7" s="40">
        <v>20</v>
      </c>
      <c r="K7" s="40">
        <v>20</v>
      </c>
      <c r="L7" s="40">
        <v>20</v>
      </c>
      <c r="M7" s="40">
        <v>20</v>
      </c>
      <c r="N7" s="40">
        <v>20</v>
      </c>
      <c r="O7" s="40">
        <v>20</v>
      </c>
      <c r="P7" s="40">
        <v>20</v>
      </c>
      <c r="R7" s="42">
        <f t="shared" si="10"/>
        <v>0.7407407407407407</v>
      </c>
      <c r="S7" s="42">
        <f t="shared" si="0"/>
        <v>0.47619047619047616</v>
      </c>
      <c r="T7" s="42">
        <f t="shared" si="1"/>
        <v>0.47619047619047616</v>
      </c>
      <c r="U7" s="42">
        <f t="shared" si="2"/>
        <v>0.47619047619047616</v>
      </c>
      <c r="V7" s="42">
        <f t="shared" si="3"/>
        <v>0.47619047619047616</v>
      </c>
      <c r="W7" s="42">
        <f t="shared" si="4"/>
        <v>0.47619047619047616</v>
      </c>
      <c r="X7" s="42">
        <f t="shared" si="5"/>
        <v>0.47619047619047616</v>
      </c>
      <c r="Y7" s="42">
        <f t="shared" si="6"/>
        <v>0.47619047619047616</v>
      </c>
      <c r="Z7" s="42">
        <f t="shared" si="7"/>
        <v>0.47619047619047616</v>
      </c>
      <c r="AA7" s="42">
        <f t="shared" si="8"/>
        <v>0.90909090909090906</v>
      </c>
      <c r="AC7" s="84">
        <v>30</v>
      </c>
      <c r="AD7" s="40">
        <v>20</v>
      </c>
      <c r="AE7" s="40">
        <v>20</v>
      </c>
      <c r="AF7" s="40">
        <v>20</v>
      </c>
      <c r="AG7" s="40">
        <v>20</v>
      </c>
      <c r="AH7" s="40">
        <v>20</v>
      </c>
      <c r="AI7" s="40">
        <v>20</v>
      </c>
      <c r="AJ7" s="40">
        <v>20</v>
      </c>
      <c r="AK7" s="40">
        <v>20</v>
      </c>
      <c r="AL7" s="84">
        <v>30</v>
      </c>
      <c r="AN7" s="42">
        <f t="shared" si="11"/>
        <v>0.81081081081081086</v>
      </c>
      <c r="AO7" s="42">
        <f t="shared" si="9"/>
        <v>0.35714285714285715</v>
      </c>
      <c r="AP7" s="42">
        <f t="shared" si="9"/>
        <v>0.37037037037037035</v>
      </c>
      <c r="AQ7" s="42">
        <f t="shared" si="9"/>
        <v>0.38461538461538464</v>
      </c>
      <c r="AR7" s="42">
        <f t="shared" si="9"/>
        <v>0.4</v>
      </c>
      <c r="AS7" s="42">
        <f t="shared" si="9"/>
        <v>0.41666666666666669</v>
      </c>
      <c r="AT7" s="42">
        <f t="shared" si="9"/>
        <v>0.43478260869565216</v>
      </c>
      <c r="AU7" s="42">
        <f t="shared" si="9"/>
        <v>0.45454545454545453</v>
      </c>
      <c r="AV7" s="42">
        <f t="shared" si="9"/>
        <v>0.47619047619047616</v>
      </c>
      <c r="AW7" s="42">
        <f t="shared" si="9"/>
        <v>0.75</v>
      </c>
    </row>
    <row r="8" spans="1:49" x14ac:dyDescent="0.25">
      <c r="A8" s="26" t="s">
        <v>14</v>
      </c>
      <c r="B8" s="26" t="s">
        <v>23</v>
      </c>
      <c r="C8" s="99" t="s">
        <v>32</v>
      </c>
      <c r="D8" s="99" t="s">
        <v>41</v>
      </c>
      <c r="E8" s="26">
        <v>8</v>
      </c>
      <c r="G8" s="40">
        <v>20</v>
      </c>
      <c r="H8" s="40">
        <v>20</v>
      </c>
      <c r="I8" s="40">
        <v>20</v>
      </c>
      <c r="J8" s="40">
        <v>20</v>
      </c>
      <c r="K8" s="40">
        <v>20</v>
      </c>
      <c r="L8" s="40">
        <v>20</v>
      </c>
      <c r="M8" s="40">
        <v>20</v>
      </c>
      <c r="N8" s="40">
        <v>20</v>
      </c>
      <c r="O8" s="40">
        <v>20</v>
      </c>
      <c r="P8" s="40">
        <v>20</v>
      </c>
      <c r="R8" s="42">
        <f t="shared" si="10"/>
        <v>0.66666666666666663</v>
      </c>
      <c r="S8" s="42">
        <f t="shared" si="0"/>
        <v>0.66666666666666663</v>
      </c>
      <c r="T8" s="42">
        <f t="shared" si="1"/>
        <v>0.68965517241379315</v>
      </c>
      <c r="U8" s="42">
        <f t="shared" si="2"/>
        <v>0.7142857142857143</v>
      </c>
      <c r="V8" s="42">
        <f t="shared" si="3"/>
        <v>0.7407407407407407</v>
      </c>
      <c r="W8" s="42">
        <f t="shared" si="4"/>
        <v>0.76923076923076927</v>
      </c>
      <c r="X8" s="42">
        <f t="shared" si="5"/>
        <v>0.8</v>
      </c>
      <c r="Y8" s="42">
        <f t="shared" si="6"/>
        <v>0.83333333333333337</v>
      </c>
      <c r="Z8" s="42">
        <f t="shared" si="7"/>
        <v>0.86956521739130432</v>
      </c>
      <c r="AA8" s="42">
        <f t="shared" si="8"/>
        <v>0.90909090909090906</v>
      </c>
      <c r="AC8" s="84">
        <v>30</v>
      </c>
      <c r="AD8" s="84">
        <v>30</v>
      </c>
      <c r="AE8" s="84">
        <v>30</v>
      </c>
      <c r="AF8" s="84">
        <v>30</v>
      </c>
      <c r="AG8" s="84">
        <v>30</v>
      </c>
      <c r="AH8" s="84">
        <v>30</v>
      </c>
      <c r="AI8" s="84">
        <v>30</v>
      </c>
      <c r="AJ8" s="84">
        <v>30</v>
      </c>
      <c r="AK8" s="84">
        <v>30</v>
      </c>
      <c r="AL8" s="84">
        <v>30</v>
      </c>
      <c r="AN8" s="42">
        <f t="shared" si="11"/>
        <v>0.75</v>
      </c>
      <c r="AO8" s="42">
        <f t="shared" si="9"/>
        <v>0.75</v>
      </c>
      <c r="AP8" s="42">
        <f t="shared" si="9"/>
        <v>0.76923076923076927</v>
      </c>
      <c r="AQ8" s="42">
        <f t="shared" si="9"/>
        <v>0.78947368421052633</v>
      </c>
      <c r="AR8" s="42">
        <f t="shared" si="9"/>
        <v>0.81081081081081086</v>
      </c>
      <c r="AS8" s="42">
        <f t="shared" si="9"/>
        <v>0.83333333333333337</v>
      </c>
      <c r="AT8" s="42">
        <f t="shared" si="9"/>
        <v>0.8571428571428571</v>
      </c>
      <c r="AU8" s="42">
        <f t="shared" si="9"/>
        <v>0.88235294117647056</v>
      </c>
      <c r="AV8" s="42">
        <f t="shared" si="9"/>
        <v>0.90909090909090906</v>
      </c>
      <c r="AW8" s="42">
        <f t="shared" si="9"/>
        <v>0.9375</v>
      </c>
    </row>
    <row r="9" spans="1:49" x14ac:dyDescent="0.25">
      <c r="A9" s="26" t="s">
        <v>15</v>
      </c>
      <c r="B9" s="26" t="s">
        <v>24</v>
      </c>
      <c r="C9" s="99" t="s">
        <v>33</v>
      </c>
      <c r="D9" s="99" t="s">
        <v>42</v>
      </c>
      <c r="E9" s="26">
        <v>9</v>
      </c>
    </row>
    <row r="10" spans="1:49" x14ac:dyDescent="0.25">
      <c r="A10" s="26" t="s">
        <v>16</v>
      </c>
      <c r="B10" s="26" t="s">
        <v>25</v>
      </c>
      <c r="C10" s="38" t="s">
        <v>34</v>
      </c>
      <c r="D10" s="38" t="s">
        <v>43</v>
      </c>
      <c r="E10" s="26">
        <v>10</v>
      </c>
      <c r="G10" s="105" t="s">
        <v>79</v>
      </c>
      <c r="H10" s="105"/>
      <c r="I10" s="105"/>
      <c r="J10" s="105"/>
      <c r="K10" s="105"/>
      <c r="L10" s="105"/>
      <c r="M10" s="105"/>
      <c r="N10" s="105"/>
      <c r="O10" s="105"/>
      <c r="P10" s="105"/>
      <c r="Q10" t="s">
        <v>81</v>
      </c>
      <c r="R10" s="105" t="s">
        <v>82</v>
      </c>
      <c r="S10" s="105"/>
      <c r="T10" s="105"/>
      <c r="U10" s="105"/>
      <c r="V10" s="105"/>
      <c r="W10" s="105"/>
      <c r="X10" s="105"/>
      <c r="Y10" s="105"/>
      <c r="Z10" s="105"/>
      <c r="AA10" s="105"/>
      <c r="AC10" s="105" t="s">
        <v>79</v>
      </c>
      <c r="AD10" s="105"/>
      <c r="AE10" s="105"/>
      <c r="AF10" s="105"/>
      <c r="AG10" s="105"/>
      <c r="AH10" s="105"/>
      <c r="AI10" s="105"/>
      <c r="AJ10" s="105"/>
      <c r="AK10" s="105"/>
      <c r="AL10" s="105"/>
      <c r="AN10" s="105" t="s">
        <v>82</v>
      </c>
      <c r="AO10" s="105"/>
      <c r="AP10" s="105"/>
      <c r="AQ10" s="105"/>
      <c r="AR10" s="105"/>
      <c r="AS10" s="105"/>
      <c r="AT10" s="105"/>
      <c r="AU10" s="105"/>
      <c r="AV10" s="105"/>
      <c r="AW10" s="105"/>
    </row>
    <row r="11" spans="1:49" x14ac:dyDescent="0.25">
      <c r="A11" s="1"/>
      <c r="B11" s="1"/>
      <c r="C11" s="45"/>
      <c r="D11" s="45"/>
      <c r="E11" s="1"/>
      <c r="G11" s="14">
        <v>2</v>
      </c>
      <c r="H11" s="14">
        <v>3</v>
      </c>
      <c r="I11" s="14">
        <v>4</v>
      </c>
      <c r="J11" s="14">
        <v>5</v>
      </c>
      <c r="K11" s="14">
        <v>6</v>
      </c>
      <c r="L11" s="14">
        <v>7</v>
      </c>
      <c r="M11" s="14">
        <v>8</v>
      </c>
      <c r="N11" s="14">
        <v>9</v>
      </c>
      <c r="O11" s="14">
        <v>10</v>
      </c>
      <c r="P11" s="40">
        <v>0</v>
      </c>
      <c r="R11" s="44">
        <f>(G11*$E$37)/G39</f>
        <v>27.538011253248555</v>
      </c>
      <c r="S11" s="44">
        <f t="shared" ref="S11:AA11" si="12">(H11*$E$37)/H39</f>
        <v>39.511059624226185</v>
      </c>
      <c r="T11" s="44">
        <f t="shared" si="12"/>
        <v>50.486353964289016</v>
      </c>
      <c r="U11" s="44">
        <f t="shared" si="12"/>
        <v>60.583624757146829</v>
      </c>
      <c r="V11" s="44">
        <f t="shared" si="12"/>
        <v>69.904182412092482</v>
      </c>
      <c r="W11" s="44">
        <f t="shared" si="12"/>
        <v>78.534328388894025</v>
      </c>
      <c r="X11" s="44">
        <f t="shared" si="12"/>
        <v>86.548035367352597</v>
      </c>
      <c r="Y11" s="44">
        <f t="shared" si="12"/>
        <v>94.009072899020936</v>
      </c>
      <c r="Z11" s="44">
        <f t="shared" si="12"/>
        <v>100.97270792857805</v>
      </c>
      <c r="AA11" s="43">
        <f t="shared" si="12"/>
        <v>0</v>
      </c>
      <c r="AC11" s="14">
        <v>10</v>
      </c>
      <c r="AD11" s="14">
        <v>9</v>
      </c>
      <c r="AE11" s="14">
        <v>8</v>
      </c>
      <c r="AF11" s="14">
        <v>7</v>
      </c>
      <c r="AG11" s="14">
        <v>6</v>
      </c>
      <c r="AH11" s="14">
        <v>5</v>
      </c>
      <c r="AI11" s="14">
        <v>4</v>
      </c>
      <c r="AJ11" s="14">
        <v>3</v>
      </c>
      <c r="AK11" s="14">
        <v>2</v>
      </c>
      <c r="AL11" s="40">
        <v>0</v>
      </c>
      <c r="AN11" s="44">
        <f>(AC11*$E$37)/AC39</f>
        <v>75.729530946433528</v>
      </c>
      <c r="AO11" s="44">
        <f t="shared" ref="AO11:AO15" si="13">(AD11*$E$37)/AD39</f>
        <v>69.904182412092496</v>
      </c>
      <c r="AP11" s="44">
        <f t="shared" ref="AP11:AP15" si="14">(AE11*$E$37)/AE39</f>
        <v>63.772236586470342</v>
      </c>
      <c r="AQ11" s="44">
        <f t="shared" ref="AQ11:AQ15" si="15">(AF11*$E$37)/AF39</f>
        <v>57.308834229733478</v>
      </c>
      <c r="AR11" s="44">
        <f t="shared" ref="AR11:AR15" si="16">(AG11*$E$37)/AG39</f>
        <v>50.486353964289016</v>
      </c>
      <c r="AS11" s="44">
        <f t="shared" ref="AS11:AS15" si="17">(AH11*$E$37)/AH39</f>
        <v>43.274017683676306</v>
      </c>
      <c r="AT11" s="44">
        <f t="shared" ref="AT11:AT15" si="18">(AI11*$E$37)/AI39</f>
        <v>35.637426327733422</v>
      </c>
      <c r="AU11" s="44">
        <f t="shared" ref="AU11:AU15" si="19">(AJ11*$E$37)/AJ39</f>
        <v>27.538011253248555</v>
      </c>
      <c r="AV11" s="44">
        <f t="shared" ref="AV11:AV15" si="20">(AK11*$E$37)/AK39</f>
        <v>18.932382736608382</v>
      </c>
      <c r="AW11" s="43">
        <f t="shared" ref="AW11:AW15" si="21">(AL11*$E$37)/AL39</f>
        <v>0</v>
      </c>
    </row>
    <row r="12" spans="1:49" x14ac:dyDescent="0.25">
      <c r="A12" s="113" t="s">
        <v>101</v>
      </c>
      <c r="B12" s="113"/>
      <c r="C12" s="113"/>
      <c r="D12" s="113"/>
      <c r="E12" s="113"/>
      <c r="G12" s="40">
        <v>0</v>
      </c>
      <c r="H12" s="90">
        <v>3</v>
      </c>
      <c r="I12" s="40">
        <v>4</v>
      </c>
      <c r="J12" s="40">
        <v>5</v>
      </c>
      <c r="K12" s="40">
        <v>6</v>
      </c>
      <c r="L12" s="40">
        <v>7</v>
      </c>
      <c r="M12" s="40">
        <v>8</v>
      </c>
      <c r="N12" s="40">
        <v>9</v>
      </c>
      <c r="O12" s="40">
        <v>10</v>
      </c>
      <c r="P12" s="40">
        <v>0</v>
      </c>
      <c r="R12" s="43">
        <f t="shared" ref="R12:R15" si="22">(G12*$E$37)/G40</f>
        <v>0</v>
      </c>
      <c r="S12" s="87">
        <f>(H12*$E$37)/H40</f>
        <v>21.637008841838149</v>
      </c>
      <c r="T12" s="43">
        <f t="shared" ref="T12:T15" si="23">(I12*$E$37)/I40</f>
        <v>28.849345122450867</v>
      </c>
      <c r="U12" s="43">
        <f t="shared" ref="U12:U15" si="24">(J12*$E$37)/J40</f>
        <v>36.061681403063588</v>
      </c>
      <c r="V12" s="43">
        <f t="shared" ref="V12:V15" si="25">(K12*$E$37)/K40</f>
        <v>43.274017683676298</v>
      </c>
      <c r="W12" s="43">
        <f t="shared" ref="W12:W15" si="26">(L12*$E$37)/L40</f>
        <v>50.486353964289016</v>
      </c>
      <c r="X12" s="43">
        <f t="shared" ref="X12:X15" si="27">(M12*$E$37)/M40</f>
        <v>57.698690244901734</v>
      </c>
      <c r="Y12" s="89">
        <f t="shared" ref="Y12:Y15" si="28">(N12*$E$37)/N40</f>
        <v>64.911026525514458</v>
      </c>
      <c r="Z12" s="43">
        <f t="shared" ref="Z12:Z15" si="29">(O12*$E$37)/O40</f>
        <v>72.123362806127176</v>
      </c>
      <c r="AA12" s="43">
        <f t="shared" ref="AA12:AA15" si="30">(P12*$E$37)/P40</f>
        <v>0</v>
      </c>
      <c r="AC12" s="40">
        <v>0</v>
      </c>
      <c r="AD12" s="90">
        <v>9</v>
      </c>
      <c r="AE12" s="40">
        <v>8</v>
      </c>
      <c r="AF12" s="40">
        <v>7</v>
      </c>
      <c r="AG12" s="40">
        <v>6</v>
      </c>
      <c r="AH12" s="40">
        <v>5</v>
      </c>
      <c r="AI12" s="40">
        <v>4</v>
      </c>
      <c r="AJ12" s="40">
        <v>3</v>
      </c>
      <c r="AK12" s="40">
        <v>2</v>
      </c>
      <c r="AL12" s="40">
        <v>0</v>
      </c>
      <c r="AN12" s="43">
        <f>(AC12*$E$37)/AC40</f>
        <v>0</v>
      </c>
      <c r="AO12" s="87">
        <f t="shared" si="13"/>
        <v>59.266589436339288</v>
      </c>
      <c r="AP12" s="43">
        <f t="shared" si="14"/>
        <v>55.076022506497111</v>
      </c>
      <c r="AQ12" s="43">
        <f t="shared" si="15"/>
        <v>50.486353964289016</v>
      </c>
      <c r="AR12" s="43">
        <f t="shared" si="16"/>
        <v>45.437718567860117</v>
      </c>
      <c r="AS12" s="43">
        <f t="shared" si="17"/>
        <v>39.857647866543964</v>
      </c>
      <c r="AT12" s="43">
        <f t="shared" si="18"/>
        <v>33.657569309526011</v>
      </c>
      <c r="AU12" s="43">
        <f t="shared" si="19"/>
        <v>26.72806974580007</v>
      </c>
      <c r="AV12" s="43">
        <f t="shared" si="20"/>
        <v>18.932382736608382</v>
      </c>
      <c r="AW12" s="43">
        <f t="shared" si="21"/>
        <v>0</v>
      </c>
    </row>
    <row r="13" spans="1:49" x14ac:dyDescent="0.25">
      <c r="A13" s="114" t="s">
        <v>90</v>
      </c>
      <c r="B13" s="114"/>
      <c r="C13" s="114"/>
      <c r="D13" s="114"/>
      <c r="E13" s="55">
        <f>SUM(G11:P15,AC11:AL15)*2</f>
        <v>792</v>
      </c>
      <c r="G13" s="40">
        <v>0</v>
      </c>
      <c r="H13" s="40">
        <v>3</v>
      </c>
      <c r="I13" s="90">
        <v>4</v>
      </c>
      <c r="J13" s="40">
        <v>5</v>
      </c>
      <c r="K13" s="40">
        <v>6</v>
      </c>
      <c r="L13" s="40">
        <v>7</v>
      </c>
      <c r="M13" s="90">
        <v>8</v>
      </c>
      <c r="N13" s="40">
        <v>9</v>
      </c>
      <c r="O13" s="40">
        <v>10</v>
      </c>
      <c r="P13" s="40">
        <v>0</v>
      </c>
      <c r="R13" s="43">
        <f t="shared" si="22"/>
        <v>0</v>
      </c>
      <c r="S13" s="43">
        <f t="shared" ref="S13:S15" si="31">(H13*$E$37)/H41</f>
        <v>21.13382258970238</v>
      </c>
      <c r="T13" s="87">
        <f t="shared" si="23"/>
        <v>28.178430119603174</v>
      </c>
      <c r="U13" s="43">
        <f t="shared" si="24"/>
        <v>35.223037649503972</v>
      </c>
      <c r="V13" s="43">
        <f t="shared" si="25"/>
        <v>42.267645179404759</v>
      </c>
      <c r="W13" s="43">
        <f t="shared" si="26"/>
        <v>49.312252709305547</v>
      </c>
      <c r="X13" s="87">
        <f t="shared" si="27"/>
        <v>56.356860239206348</v>
      </c>
      <c r="Y13" s="43">
        <f t="shared" si="28"/>
        <v>63.401467769107143</v>
      </c>
      <c r="Z13" s="43">
        <f t="shared" si="29"/>
        <v>70.446075299007944</v>
      </c>
      <c r="AA13" s="43">
        <f t="shared" si="30"/>
        <v>0</v>
      </c>
      <c r="AC13" s="40">
        <v>0</v>
      </c>
      <c r="AD13" s="40">
        <v>9</v>
      </c>
      <c r="AE13" s="90">
        <v>8</v>
      </c>
      <c r="AF13" s="40">
        <v>7</v>
      </c>
      <c r="AG13" s="40">
        <v>6</v>
      </c>
      <c r="AH13" s="40">
        <v>5</v>
      </c>
      <c r="AI13" s="90">
        <v>4</v>
      </c>
      <c r="AJ13" s="40">
        <v>3</v>
      </c>
      <c r="AK13" s="40">
        <v>2</v>
      </c>
      <c r="AL13" s="40">
        <v>0</v>
      </c>
      <c r="AN13" s="43">
        <f>(AC13*$E$37)/AC41</f>
        <v>0</v>
      </c>
      <c r="AO13" s="43">
        <f t="shared" si="13"/>
        <v>53.45613949160014</v>
      </c>
      <c r="AP13" s="87">
        <f t="shared" si="14"/>
        <v>49.456020209915771</v>
      </c>
      <c r="AQ13" s="43">
        <f t="shared" si="15"/>
        <v>45.115465244683804</v>
      </c>
      <c r="AR13" s="43">
        <f t="shared" si="16"/>
        <v>40.389083171431217</v>
      </c>
      <c r="AS13" s="43">
        <f t="shared" si="17"/>
        <v>35.223037649503972</v>
      </c>
      <c r="AT13" s="87">
        <f t="shared" si="18"/>
        <v>29.552987686413083</v>
      </c>
      <c r="AU13" s="43">
        <f t="shared" si="19"/>
        <v>23.301394137364163</v>
      </c>
      <c r="AV13" s="43">
        <f t="shared" si="20"/>
        <v>16.373952637066708</v>
      </c>
      <c r="AW13" s="43">
        <f t="shared" si="21"/>
        <v>0</v>
      </c>
    </row>
    <row r="14" spans="1:49" x14ac:dyDescent="0.25">
      <c r="A14" s="114" t="s">
        <v>282</v>
      </c>
      <c r="B14" s="114"/>
      <c r="C14" s="114"/>
      <c r="D14" s="114"/>
      <c r="E14" s="55">
        <f>SUM(G18:P22,AC18:AL22)*2</f>
        <v>840</v>
      </c>
      <c r="G14" s="40">
        <v>0</v>
      </c>
      <c r="H14" s="40">
        <v>3</v>
      </c>
      <c r="I14" s="40">
        <v>4</v>
      </c>
      <c r="J14" s="90">
        <v>5</v>
      </c>
      <c r="K14" s="40">
        <v>6</v>
      </c>
      <c r="L14" s="90">
        <v>7</v>
      </c>
      <c r="M14" s="40">
        <v>8</v>
      </c>
      <c r="N14" s="40">
        <v>9</v>
      </c>
      <c r="O14" s="40">
        <v>10</v>
      </c>
      <c r="P14" s="40">
        <v>0</v>
      </c>
      <c r="R14" s="43">
        <f t="shared" si="22"/>
        <v>0</v>
      </c>
      <c r="S14" s="43">
        <f t="shared" si="31"/>
        <v>21.637008841838149</v>
      </c>
      <c r="T14" s="43">
        <f t="shared" si="23"/>
        <v>28.849345122450867</v>
      </c>
      <c r="U14" s="87">
        <f t="shared" si="24"/>
        <v>36.061681403063588</v>
      </c>
      <c r="V14" s="43">
        <f t="shared" si="25"/>
        <v>43.274017683676298</v>
      </c>
      <c r="W14" s="87">
        <f t="shared" si="26"/>
        <v>50.486353964289016</v>
      </c>
      <c r="X14" s="43">
        <f t="shared" si="27"/>
        <v>57.698690244901734</v>
      </c>
      <c r="Y14" s="43">
        <f t="shared" si="28"/>
        <v>64.911026525514458</v>
      </c>
      <c r="Z14" s="43">
        <f t="shared" si="29"/>
        <v>72.123362806127176</v>
      </c>
      <c r="AA14" s="43">
        <f t="shared" si="30"/>
        <v>0</v>
      </c>
      <c r="AC14" s="40">
        <v>0</v>
      </c>
      <c r="AD14" s="40">
        <v>9</v>
      </c>
      <c r="AE14" s="40">
        <v>8</v>
      </c>
      <c r="AF14" s="90">
        <v>7</v>
      </c>
      <c r="AG14" s="40">
        <v>6</v>
      </c>
      <c r="AH14" s="90">
        <v>5</v>
      </c>
      <c r="AI14" s="40">
        <v>4</v>
      </c>
      <c r="AJ14" s="40">
        <v>3</v>
      </c>
      <c r="AK14" s="40">
        <v>2</v>
      </c>
      <c r="AL14" s="40">
        <v>0</v>
      </c>
      <c r="AN14" s="43">
        <f>(AC14*$E$37)/AC42</f>
        <v>0</v>
      </c>
      <c r="AO14" s="43">
        <f t="shared" si="13"/>
        <v>48.68326989413584</v>
      </c>
      <c r="AP14" s="43">
        <f t="shared" si="14"/>
        <v>44.876759079368014</v>
      </c>
      <c r="AQ14" s="87">
        <f t="shared" si="15"/>
        <v>40.77743974038728</v>
      </c>
      <c r="AR14" s="43">
        <f t="shared" si="16"/>
        <v>36.350174854288092</v>
      </c>
      <c r="AS14" s="87">
        <f t="shared" si="17"/>
        <v>31.553971227680638</v>
      </c>
      <c r="AT14" s="43">
        <f t="shared" si="18"/>
        <v>26.340706416150791</v>
      </c>
      <c r="AU14" s="43">
        <f t="shared" si="19"/>
        <v>20.653508439936417</v>
      </c>
      <c r="AV14" s="43">
        <f t="shared" si="20"/>
        <v>14.424672561225433</v>
      </c>
      <c r="AW14" s="43">
        <f t="shared" si="21"/>
        <v>0</v>
      </c>
    </row>
    <row r="15" spans="1:49" x14ac:dyDescent="0.25">
      <c r="A15" s="114" t="s">
        <v>91</v>
      </c>
      <c r="B15" s="114"/>
      <c r="C15" s="114"/>
      <c r="D15" s="114"/>
      <c r="E15" s="55">
        <f>SUM(G25:P29,AC25:AL29)*2</f>
        <v>544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R15" s="43">
        <f t="shared" si="22"/>
        <v>0</v>
      </c>
      <c r="S15" s="43">
        <f t="shared" si="31"/>
        <v>0</v>
      </c>
      <c r="T15" s="43">
        <f t="shared" si="23"/>
        <v>0</v>
      </c>
      <c r="U15" s="43">
        <f t="shared" si="24"/>
        <v>0</v>
      </c>
      <c r="V15" s="43">
        <f t="shared" si="25"/>
        <v>0</v>
      </c>
      <c r="W15" s="43">
        <f t="shared" si="26"/>
        <v>0</v>
      </c>
      <c r="X15" s="43">
        <f t="shared" si="27"/>
        <v>0</v>
      </c>
      <c r="Y15" s="43">
        <f t="shared" si="28"/>
        <v>0</v>
      </c>
      <c r="Z15" s="43">
        <f t="shared" si="29"/>
        <v>0</v>
      </c>
      <c r="AA15" s="43">
        <f t="shared" si="30"/>
        <v>0</v>
      </c>
      <c r="AC15" s="40">
        <v>0</v>
      </c>
      <c r="AD15" s="40">
        <v>0</v>
      </c>
      <c r="AE15" s="40">
        <v>0</v>
      </c>
      <c r="AF15" s="40">
        <v>0</v>
      </c>
      <c r="AG15" s="40">
        <v>0</v>
      </c>
      <c r="AH15" s="40">
        <v>0</v>
      </c>
      <c r="AI15" s="40">
        <v>0</v>
      </c>
      <c r="AJ15" s="40">
        <v>0</v>
      </c>
      <c r="AK15" s="40">
        <v>0</v>
      </c>
      <c r="AL15" s="40">
        <v>0</v>
      </c>
      <c r="AN15" s="43">
        <f>(AC15*$E$37)/AC43</f>
        <v>0</v>
      </c>
      <c r="AO15" s="43">
        <f t="shared" si="13"/>
        <v>0</v>
      </c>
      <c r="AP15" s="51">
        <f t="shared" si="14"/>
        <v>0</v>
      </c>
      <c r="AQ15" s="51">
        <f t="shared" si="15"/>
        <v>0</v>
      </c>
      <c r="AR15" s="51">
        <f t="shared" si="16"/>
        <v>0</v>
      </c>
      <c r="AS15" s="43">
        <f t="shared" si="17"/>
        <v>0</v>
      </c>
      <c r="AT15" s="43">
        <f t="shared" si="18"/>
        <v>0</v>
      </c>
      <c r="AU15" s="43">
        <f t="shared" si="19"/>
        <v>0</v>
      </c>
      <c r="AV15" s="43">
        <f t="shared" si="20"/>
        <v>0</v>
      </c>
      <c r="AW15" s="43">
        <f t="shared" si="21"/>
        <v>0</v>
      </c>
    </row>
    <row r="16" spans="1:49" x14ac:dyDescent="0.25">
      <c r="A16" s="114" t="s">
        <v>92</v>
      </c>
      <c r="B16" s="114"/>
      <c r="C16" s="114"/>
      <c r="D16" s="114"/>
      <c r="E16" s="55">
        <f>SUM(G32:P36,AC32:AL36)*2</f>
        <v>696</v>
      </c>
      <c r="G16" s="112" t="s">
        <v>108</v>
      </c>
      <c r="H16" s="112"/>
      <c r="I16" s="112"/>
      <c r="J16" s="50">
        <f>SUM(G11:P15)</f>
        <v>210</v>
      </c>
      <c r="R16" s="115" t="s">
        <v>97</v>
      </c>
      <c r="S16" s="116"/>
      <c r="T16" s="52">
        <f>SMALL(R11:AA15,COUNTIF(R11:AA15,0)+1)</f>
        <v>21.13382258970238</v>
      </c>
      <c r="U16" s="53" t="s">
        <v>98</v>
      </c>
      <c r="V16" s="54">
        <f>MAX(R11:AA15)</f>
        <v>100.97270792857805</v>
      </c>
      <c r="AC16" s="112" t="s">
        <v>108</v>
      </c>
      <c r="AD16" s="112"/>
      <c r="AE16" s="112"/>
      <c r="AF16" s="50">
        <f>SUM(AC11:AL15)</f>
        <v>186</v>
      </c>
      <c r="AN16" s="115" t="s">
        <v>97</v>
      </c>
      <c r="AO16" s="116"/>
      <c r="AP16" s="52">
        <f>SMALL(AN11:AW15,COUNTIF(AN11:AW15,0)+1)</f>
        <v>14.424672561225433</v>
      </c>
      <c r="AQ16" s="53" t="s">
        <v>98</v>
      </c>
      <c r="AR16" s="54">
        <f>MAX(AN11:AW15)</f>
        <v>75.729530946433528</v>
      </c>
    </row>
    <row r="17" spans="1:49" x14ac:dyDescent="0.25">
      <c r="A17" s="1"/>
      <c r="B17" s="1"/>
      <c r="C17" s="1"/>
      <c r="D17" s="1"/>
      <c r="E17" s="1"/>
      <c r="G17" s="105" t="s">
        <v>284</v>
      </c>
      <c r="H17" s="105"/>
      <c r="I17" s="105"/>
      <c r="J17" s="105"/>
      <c r="K17" s="105"/>
      <c r="L17" s="105"/>
      <c r="M17" s="105"/>
      <c r="N17" s="105"/>
      <c r="O17" s="105"/>
      <c r="P17" s="105"/>
      <c r="R17" s="105" t="s">
        <v>285</v>
      </c>
      <c r="S17" s="105"/>
      <c r="T17" s="105"/>
      <c r="U17" s="105"/>
      <c r="V17" s="105"/>
      <c r="W17" s="105"/>
      <c r="X17" s="105"/>
      <c r="Y17" s="105"/>
      <c r="Z17" s="105"/>
      <c r="AA17" s="105"/>
      <c r="AC17" s="105" t="s">
        <v>284</v>
      </c>
      <c r="AD17" s="105"/>
      <c r="AE17" s="105"/>
      <c r="AF17" s="105"/>
      <c r="AG17" s="105"/>
      <c r="AH17" s="105"/>
      <c r="AI17" s="105"/>
      <c r="AJ17" s="105"/>
      <c r="AK17" s="105"/>
      <c r="AL17" s="105"/>
      <c r="AN17" s="105" t="s">
        <v>285</v>
      </c>
      <c r="AO17" s="105"/>
      <c r="AP17" s="108"/>
      <c r="AQ17" s="108"/>
      <c r="AR17" s="108"/>
      <c r="AS17" s="105"/>
      <c r="AT17" s="105"/>
      <c r="AU17" s="105"/>
      <c r="AV17" s="105"/>
      <c r="AW17" s="105"/>
    </row>
    <row r="18" spans="1:49" x14ac:dyDescent="0.25">
      <c r="A18" s="113" t="s">
        <v>99</v>
      </c>
      <c r="B18" s="113"/>
      <c r="C18" s="113"/>
      <c r="D18" s="113"/>
      <c r="E18" s="113"/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R18" s="43">
        <f>(G18*$E$38)/G39</f>
        <v>0</v>
      </c>
      <c r="S18" s="43">
        <f t="shared" ref="S18:AA18" si="32">(H18*$E$38)/H39</f>
        <v>0</v>
      </c>
      <c r="T18" s="43">
        <f t="shared" si="32"/>
        <v>0</v>
      </c>
      <c r="U18" s="43">
        <f t="shared" si="32"/>
        <v>0</v>
      </c>
      <c r="V18" s="43">
        <f t="shared" si="32"/>
        <v>0</v>
      </c>
      <c r="W18" s="43">
        <f t="shared" si="32"/>
        <v>0</v>
      </c>
      <c r="X18" s="43">
        <f t="shared" si="32"/>
        <v>0</v>
      </c>
      <c r="Y18" s="43">
        <f t="shared" si="32"/>
        <v>0</v>
      </c>
      <c r="Z18" s="43">
        <f t="shared" si="32"/>
        <v>0</v>
      </c>
      <c r="AA18" s="43">
        <f t="shared" si="32"/>
        <v>0</v>
      </c>
      <c r="AC18" s="40">
        <v>0</v>
      </c>
      <c r="AD18" s="40">
        <v>0</v>
      </c>
      <c r="AE18" s="40">
        <v>0</v>
      </c>
      <c r="AF18" s="40">
        <v>0</v>
      </c>
      <c r="AG18" s="40">
        <v>0</v>
      </c>
      <c r="AH18" s="40">
        <v>0</v>
      </c>
      <c r="AI18" s="40">
        <v>0</v>
      </c>
      <c r="AJ18" s="40">
        <v>0</v>
      </c>
      <c r="AK18" s="40">
        <v>0</v>
      </c>
      <c r="AL18" s="40">
        <v>0</v>
      </c>
      <c r="AN18" s="43">
        <f>(AC18*$E$38)/AC39</f>
        <v>0</v>
      </c>
      <c r="AO18" s="43">
        <f t="shared" ref="AO18:AW18" si="33">(AD18*$E$38)/AD39</f>
        <v>0</v>
      </c>
      <c r="AP18" s="43">
        <f t="shared" si="33"/>
        <v>0</v>
      </c>
      <c r="AQ18" s="43">
        <f t="shared" si="33"/>
        <v>0</v>
      </c>
      <c r="AR18" s="43">
        <f t="shared" si="33"/>
        <v>0</v>
      </c>
      <c r="AS18" s="43">
        <f t="shared" si="33"/>
        <v>0</v>
      </c>
      <c r="AT18" s="43">
        <f t="shared" si="33"/>
        <v>0</v>
      </c>
      <c r="AU18" s="43">
        <f t="shared" si="33"/>
        <v>0</v>
      </c>
      <c r="AV18" s="43">
        <f t="shared" si="33"/>
        <v>0</v>
      </c>
      <c r="AW18" s="43">
        <f t="shared" si="33"/>
        <v>0</v>
      </c>
    </row>
    <row r="19" spans="1:49" x14ac:dyDescent="0.25">
      <c r="A19" s="114" t="s">
        <v>90</v>
      </c>
      <c r="B19" s="114"/>
      <c r="C19" s="114"/>
      <c r="D19" s="114"/>
      <c r="E19" s="55">
        <f>CEILING(E13,1000)</f>
        <v>1000</v>
      </c>
      <c r="G19" s="40">
        <v>0</v>
      </c>
      <c r="H19" s="90">
        <v>10</v>
      </c>
      <c r="I19" s="40">
        <v>9</v>
      </c>
      <c r="J19" s="40">
        <v>8</v>
      </c>
      <c r="K19" s="40">
        <v>7</v>
      </c>
      <c r="L19" s="40">
        <v>6</v>
      </c>
      <c r="M19" s="40">
        <v>5</v>
      </c>
      <c r="N19" s="40">
        <v>4</v>
      </c>
      <c r="O19" s="40">
        <v>3</v>
      </c>
      <c r="P19" s="40">
        <v>0</v>
      </c>
      <c r="R19" s="43">
        <f t="shared" ref="R19:R22" si="34">(G19*$E$38)/G40</f>
        <v>0</v>
      </c>
      <c r="S19" s="87">
        <f t="shared" ref="S19:S22" si="35">(H19*$E$38)/H40</f>
        <v>62.280779977409196</v>
      </c>
      <c r="T19" s="43">
        <f t="shared" ref="T19:T22" si="36">(I19*$E$38)/I40</f>
        <v>56.052701979668278</v>
      </c>
      <c r="U19" s="43">
        <f t="shared" ref="U19:U22" si="37">(J19*$E$38)/J40</f>
        <v>49.824623981927353</v>
      </c>
      <c r="V19" s="43">
        <f t="shared" ref="V19:V22" si="38">(K19*$E$38)/K40</f>
        <v>43.596545984186434</v>
      </c>
      <c r="W19" s="43">
        <f t="shared" ref="W19:W22" si="39">(L19*$E$38)/L40</f>
        <v>37.368467986445516</v>
      </c>
      <c r="X19" s="43">
        <f t="shared" ref="X19:X22" si="40">(M19*$E$38)/M40</f>
        <v>31.140389988704598</v>
      </c>
      <c r="Y19" s="43">
        <f t="shared" ref="Y19:Y22" si="41">(N19*$E$38)/N40</f>
        <v>24.912311990963676</v>
      </c>
      <c r="Z19" s="43">
        <f t="shared" ref="Z19:Z22" si="42">(O19*$E$38)/O40</f>
        <v>18.684233993222758</v>
      </c>
      <c r="AA19" s="43">
        <f t="shared" ref="AA19:AA22" si="43">(P19*$E$38)/P40</f>
        <v>0</v>
      </c>
      <c r="AC19" s="40">
        <v>0</v>
      </c>
      <c r="AD19" s="90">
        <v>10</v>
      </c>
      <c r="AE19" s="40">
        <v>9</v>
      </c>
      <c r="AF19" s="40">
        <v>8</v>
      </c>
      <c r="AG19" s="40">
        <v>7</v>
      </c>
      <c r="AH19" s="40">
        <v>6</v>
      </c>
      <c r="AI19" s="40">
        <v>5</v>
      </c>
      <c r="AJ19" s="40">
        <v>4</v>
      </c>
      <c r="AK19" s="40">
        <v>3</v>
      </c>
      <c r="AL19" s="40">
        <v>0</v>
      </c>
      <c r="AN19" s="43">
        <f t="shared" ref="AN19:AN22" si="44">(AC19*$E$38)/AC40</f>
        <v>0</v>
      </c>
      <c r="AO19" s="87">
        <f t="shared" ref="AO19:AO22" si="45">(AD19*$E$38)/AD40</f>
        <v>56.865059979373612</v>
      </c>
      <c r="AP19" s="43">
        <f t="shared" ref="AP19:AP22" si="46">(AE19*$E$38)/AE40</f>
        <v>53.504851889683351</v>
      </c>
      <c r="AQ19" s="43">
        <f t="shared" ref="AQ19:AQ22" si="47">(AF19*$E$38)/AF40</f>
        <v>49.824623981927353</v>
      </c>
      <c r="AR19" s="43">
        <f t="shared" ref="AR19:AR22" si="48">(AG19*$E$38)/AG40</f>
        <v>45.776373283395756</v>
      </c>
      <c r="AS19" s="43">
        <f t="shared" ref="AS19:AS22" si="49">(AH19*$E$38)/AH40</f>
        <v>41.301990932387149</v>
      </c>
      <c r="AT19" s="43">
        <f t="shared" ref="AT19:AT22" si="50">(AI19*$E$38)/AI40</f>
        <v>36.330454986822033</v>
      </c>
      <c r="AU19" s="43">
        <f t="shared" ref="AU19:AU22" si="51">(AJ19*$E$38)/AJ40</f>
        <v>30.774032459425719</v>
      </c>
      <c r="AV19" s="43">
        <f t="shared" ref="AV19:AV22" si="52">(AK19*$E$38)/AK40</f>
        <v>24.523057116104869</v>
      </c>
      <c r="AW19" s="43">
        <f t="shared" ref="AW19:AW22" si="53">(AL19*$E$38)/AL40</f>
        <v>0</v>
      </c>
    </row>
    <row r="20" spans="1:49" x14ac:dyDescent="0.25">
      <c r="A20" s="117" t="s">
        <v>282</v>
      </c>
      <c r="B20" s="117"/>
      <c r="C20" s="117"/>
      <c r="D20" s="117"/>
      <c r="E20" s="83">
        <f t="shared" ref="E20:E22" si="54">CEILING(E14,1000)</f>
        <v>1000</v>
      </c>
      <c r="G20" s="40">
        <v>0</v>
      </c>
      <c r="H20" s="40">
        <v>10</v>
      </c>
      <c r="I20" s="90">
        <v>9</v>
      </c>
      <c r="J20" s="40">
        <v>8</v>
      </c>
      <c r="K20" s="40">
        <v>7</v>
      </c>
      <c r="L20" s="40">
        <v>6</v>
      </c>
      <c r="M20" s="90">
        <v>5</v>
      </c>
      <c r="N20" s="40">
        <v>4</v>
      </c>
      <c r="O20" s="40">
        <v>3</v>
      </c>
      <c r="P20" s="40">
        <v>0</v>
      </c>
      <c r="R20" s="43">
        <f t="shared" si="34"/>
        <v>0</v>
      </c>
      <c r="S20" s="43">
        <f t="shared" si="35"/>
        <v>60.832389745376425</v>
      </c>
      <c r="T20" s="87">
        <f t="shared" si="36"/>
        <v>54.749150770838781</v>
      </c>
      <c r="U20" s="43">
        <f t="shared" si="37"/>
        <v>48.665911796301138</v>
      </c>
      <c r="V20" s="43">
        <f t="shared" si="38"/>
        <v>42.582672821763488</v>
      </c>
      <c r="W20" s="43">
        <f t="shared" si="39"/>
        <v>36.499433847225852</v>
      </c>
      <c r="X20" s="87">
        <f t="shared" si="40"/>
        <v>30.416194872688212</v>
      </c>
      <c r="Y20" s="43">
        <f t="shared" si="41"/>
        <v>24.332955898150569</v>
      </c>
      <c r="Z20" s="43">
        <f t="shared" si="42"/>
        <v>18.249716923612926</v>
      </c>
      <c r="AA20" s="43">
        <f t="shared" si="43"/>
        <v>0</v>
      </c>
      <c r="AC20" s="40">
        <v>0</v>
      </c>
      <c r="AD20" s="40">
        <v>10</v>
      </c>
      <c r="AE20" s="90">
        <v>9</v>
      </c>
      <c r="AF20" s="40">
        <v>8</v>
      </c>
      <c r="AG20" s="40">
        <v>7</v>
      </c>
      <c r="AH20" s="40">
        <v>6</v>
      </c>
      <c r="AI20" s="90">
        <v>5</v>
      </c>
      <c r="AJ20" s="40">
        <v>4</v>
      </c>
      <c r="AK20" s="40">
        <v>3</v>
      </c>
      <c r="AL20" s="40">
        <v>0</v>
      </c>
      <c r="AN20" s="43">
        <f t="shared" si="44"/>
        <v>0</v>
      </c>
      <c r="AO20" s="43">
        <f t="shared" si="45"/>
        <v>51.290054099042869</v>
      </c>
      <c r="AP20" s="87">
        <f t="shared" si="46"/>
        <v>48.045173125429947</v>
      </c>
      <c r="AQ20" s="43">
        <f t="shared" si="47"/>
        <v>44.524132068956355</v>
      </c>
      <c r="AR20" s="43">
        <f t="shared" si="48"/>
        <v>40.69010958524067</v>
      </c>
      <c r="AS20" s="43">
        <f t="shared" si="49"/>
        <v>36.499433847225852</v>
      </c>
      <c r="AT20" s="87">
        <f t="shared" si="50"/>
        <v>31.899911695746173</v>
      </c>
      <c r="AU20" s="43">
        <f t="shared" si="51"/>
        <v>26.828643682576267</v>
      </c>
      <c r="AV20" s="43">
        <f t="shared" si="52"/>
        <v>21.209130478793401</v>
      </c>
      <c r="AW20" s="43">
        <f t="shared" si="53"/>
        <v>0</v>
      </c>
    </row>
    <row r="21" spans="1:49" x14ac:dyDescent="0.25">
      <c r="A21" s="114" t="s">
        <v>91</v>
      </c>
      <c r="B21" s="114"/>
      <c r="C21" s="114"/>
      <c r="D21" s="114"/>
      <c r="E21" s="55">
        <f t="shared" si="54"/>
        <v>1000</v>
      </c>
      <c r="G21" s="40">
        <v>0</v>
      </c>
      <c r="H21" s="40">
        <v>10</v>
      </c>
      <c r="I21" s="40">
        <v>9</v>
      </c>
      <c r="J21" s="90">
        <v>8</v>
      </c>
      <c r="K21" s="40">
        <v>7</v>
      </c>
      <c r="L21" s="90">
        <v>6</v>
      </c>
      <c r="M21" s="40">
        <v>5</v>
      </c>
      <c r="N21" s="40">
        <v>4</v>
      </c>
      <c r="O21" s="40">
        <v>3</v>
      </c>
      <c r="P21" s="40">
        <v>0</v>
      </c>
      <c r="R21" s="43">
        <f t="shared" si="34"/>
        <v>0</v>
      </c>
      <c r="S21" s="43">
        <f t="shared" si="35"/>
        <v>62.280779977409196</v>
      </c>
      <c r="T21" s="43">
        <f t="shared" si="36"/>
        <v>56.052701979668278</v>
      </c>
      <c r="U21" s="87">
        <f t="shared" si="37"/>
        <v>49.824623981927353</v>
      </c>
      <c r="V21" s="43">
        <f t="shared" si="38"/>
        <v>43.596545984186434</v>
      </c>
      <c r="W21" s="87">
        <f t="shared" si="39"/>
        <v>37.368467986445516</v>
      </c>
      <c r="X21" s="43">
        <f t="shared" si="40"/>
        <v>31.140389988704598</v>
      </c>
      <c r="Y21" s="43">
        <f t="shared" si="41"/>
        <v>24.912311990963676</v>
      </c>
      <c r="Z21" s="43">
        <f t="shared" si="42"/>
        <v>18.684233993222758</v>
      </c>
      <c r="AA21" s="43">
        <f t="shared" si="43"/>
        <v>0</v>
      </c>
      <c r="AC21" s="40">
        <v>0</v>
      </c>
      <c r="AD21" s="40">
        <v>10</v>
      </c>
      <c r="AE21" s="40">
        <v>9</v>
      </c>
      <c r="AF21" s="90">
        <v>8</v>
      </c>
      <c r="AG21" s="40">
        <v>7</v>
      </c>
      <c r="AH21" s="90">
        <v>6</v>
      </c>
      <c r="AI21" s="40">
        <v>5</v>
      </c>
      <c r="AJ21" s="40">
        <v>4</v>
      </c>
      <c r="AK21" s="40">
        <v>3</v>
      </c>
      <c r="AL21" s="40">
        <v>0</v>
      </c>
      <c r="AN21" s="43">
        <f t="shared" si="44"/>
        <v>0</v>
      </c>
      <c r="AO21" s="43">
        <f t="shared" si="45"/>
        <v>46.710584983056897</v>
      </c>
      <c r="AP21" s="43">
        <f t="shared" si="46"/>
        <v>43.596545984186434</v>
      </c>
      <c r="AQ21" s="88">
        <f t="shared" si="47"/>
        <v>40.242965523864399</v>
      </c>
      <c r="AR21" s="43">
        <f t="shared" si="48"/>
        <v>36.621098626716602</v>
      </c>
      <c r="AS21" s="87">
        <f t="shared" si="49"/>
        <v>32.697409488139826</v>
      </c>
      <c r="AT21" s="43">
        <f t="shared" si="50"/>
        <v>28.432529989686806</v>
      </c>
      <c r="AU21" s="43">
        <f t="shared" si="51"/>
        <v>23.779934173192601</v>
      </c>
      <c r="AV21" s="43">
        <f t="shared" si="52"/>
        <v>18.684233993222758</v>
      </c>
      <c r="AW21" s="43">
        <f t="shared" si="53"/>
        <v>0</v>
      </c>
    </row>
    <row r="22" spans="1:49" x14ac:dyDescent="0.25">
      <c r="A22" s="114" t="s">
        <v>92</v>
      </c>
      <c r="B22" s="114"/>
      <c r="C22" s="114"/>
      <c r="D22" s="114"/>
      <c r="E22" s="55">
        <f t="shared" si="54"/>
        <v>1000</v>
      </c>
      <c r="G22" s="40">
        <v>0</v>
      </c>
      <c r="H22" s="14">
        <v>10</v>
      </c>
      <c r="I22" s="14">
        <v>9</v>
      </c>
      <c r="J22" s="14">
        <v>8</v>
      </c>
      <c r="K22" s="14">
        <v>7</v>
      </c>
      <c r="L22" s="14">
        <v>6</v>
      </c>
      <c r="M22" s="14">
        <v>5</v>
      </c>
      <c r="N22" s="14">
        <v>4</v>
      </c>
      <c r="O22" s="14">
        <v>3</v>
      </c>
      <c r="P22" s="14">
        <v>2</v>
      </c>
      <c r="R22" s="43">
        <f t="shared" si="34"/>
        <v>0</v>
      </c>
      <c r="S22" s="44">
        <f t="shared" si="35"/>
        <v>87.193091968372883</v>
      </c>
      <c r="T22" s="44">
        <f t="shared" si="36"/>
        <v>81.17977528089888</v>
      </c>
      <c r="U22" s="44">
        <f t="shared" si="37"/>
        <v>74.736935972891033</v>
      </c>
      <c r="V22" s="44">
        <f t="shared" si="38"/>
        <v>67.816849308734447</v>
      </c>
      <c r="W22" s="44">
        <f t="shared" si="39"/>
        <v>60.364448285796598</v>
      </c>
      <c r="X22" s="44">
        <f t="shared" si="40"/>
        <v>52.315855181023728</v>
      </c>
      <c r="Y22" s="44">
        <f t="shared" si="41"/>
        <v>43.596545984186434</v>
      </c>
      <c r="Z22" s="44">
        <f t="shared" si="42"/>
        <v>34.119035987624166</v>
      </c>
      <c r="AA22" s="44">
        <f t="shared" si="43"/>
        <v>23.779934173192601</v>
      </c>
      <c r="AC22" s="40">
        <v>0</v>
      </c>
      <c r="AD22" s="14">
        <v>10</v>
      </c>
      <c r="AE22" s="14">
        <v>9</v>
      </c>
      <c r="AF22" s="14">
        <v>8</v>
      </c>
      <c r="AG22" s="14">
        <v>7</v>
      </c>
      <c r="AH22" s="14">
        <v>6</v>
      </c>
      <c r="AI22" s="14">
        <v>5</v>
      </c>
      <c r="AJ22" s="14">
        <v>4</v>
      </c>
      <c r="AK22" s="14">
        <v>3</v>
      </c>
      <c r="AL22" s="14">
        <v>2</v>
      </c>
      <c r="AN22" s="43">
        <f t="shared" si="44"/>
        <v>0</v>
      </c>
      <c r="AO22" s="44">
        <f t="shared" si="45"/>
        <v>65.394818976279652</v>
      </c>
      <c r="AP22" s="44">
        <f t="shared" si="46"/>
        <v>60.364448285796605</v>
      </c>
      <c r="AQ22" s="44">
        <f t="shared" si="47"/>
        <v>55.069321243182863</v>
      </c>
      <c r="AR22" s="44">
        <f t="shared" si="48"/>
        <v>49.4879711171846</v>
      </c>
      <c r="AS22" s="44">
        <f t="shared" si="49"/>
        <v>43.596545984186434</v>
      </c>
      <c r="AT22" s="44">
        <f t="shared" si="50"/>
        <v>37.368467986445516</v>
      </c>
      <c r="AU22" s="44">
        <f t="shared" si="51"/>
        <v>30.774032459425719</v>
      </c>
      <c r="AV22" s="44">
        <f t="shared" si="52"/>
        <v>23.779934173192601</v>
      </c>
      <c r="AW22" s="44">
        <f t="shared" si="53"/>
        <v>16.348704744069913</v>
      </c>
    </row>
    <row r="23" spans="1:49" x14ac:dyDescent="0.25">
      <c r="A23" s="1"/>
      <c r="B23" s="1"/>
      <c r="C23" s="45"/>
      <c r="D23" s="45"/>
      <c r="E23" s="1"/>
      <c r="G23" s="112" t="s">
        <v>108</v>
      </c>
      <c r="H23" s="112"/>
      <c r="I23" s="112"/>
      <c r="J23" s="50">
        <f>SUM(G18:P22)</f>
        <v>210</v>
      </c>
      <c r="R23" s="115" t="s">
        <v>97</v>
      </c>
      <c r="S23" s="116"/>
      <c r="T23" s="52">
        <f>SMALL(R18:AA22,COUNTIF(R18:AA22,0)+1)</f>
        <v>18.249716923612926</v>
      </c>
      <c r="U23" s="53" t="s">
        <v>98</v>
      </c>
      <c r="V23" s="54">
        <f>MAX(R18:AA22)</f>
        <v>87.193091968372883</v>
      </c>
      <c r="AC23" s="112" t="s">
        <v>108</v>
      </c>
      <c r="AD23" s="112"/>
      <c r="AE23" s="112"/>
      <c r="AF23" s="50">
        <f>SUM(AC18:AL22)</f>
        <v>210</v>
      </c>
      <c r="AN23" s="115" t="s">
        <v>97</v>
      </c>
      <c r="AO23" s="116"/>
      <c r="AP23" s="52">
        <f>SMALL(AN18:AW22,COUNTIF(AN18:AW22,0)+1)</f>
        <v>16.348704744069913</v>
      </c>
      <c r="AQ23" s="53" t="s">
        <v>98</v>
      </c>
      <c r="AR23" s="54">
        <f>MAX(AN18:AW22)</f>
        <v>65.394818976279652</v>
      </c>
    </row>
    <row r="24" spans="1:49" x14ac:dyDescent="0.25">
      <c r="A24" s="113" t="s">
        <v>102</v>
      </c>
      <c r="B24" s="113"/>
      <c r="C24" s="113"/>
      <c r="D24" s="113"/>
      <c r="E24" s="113"/>
      <c r="G24" s="105" t="s">
        <v>76</v>
      </c>
      <c r="H24" s="105"/>
      <c r="I24" s="105"/>
      <c r="J24" s="105"/>
      <c r="K24" s="105"/>
      <c r="L24" s="105"/>
      <c r="M24" s="105"/>
      <c r="N24" s="105"/>
      <c r="O24" s="105"/>
      <c r="P24" s="105"/>
      <c r="R24" s="105" t="s">
        <v>88</v>
      </c>
      <c r="S24" s="105"/>
      <c r="T24" s="105"/>
      <c r="U24" s="105"/>
      <c r="V24" s="105"/>
      <c r="W24" s="105"/>
      <c r="X24" s="105"/>
      <c r="Y24" s="105"/>
      <c r="Z24" s="105"/>
      <c r="AA24" s="105"/>
      <c r="AC24" s="105" t="s">
        <v>76</v>
      </c>
      <c r="AD24" s="105"/>
      <c r="AE24" s="105"/>
      <c r="AF24" s="105"/>
      <c r="AG24" s="105"/>
      <c r="AH24" s="105"/>
      <c r="AI24" s="105"/>
      <c r="AJ24" s="105"/>
      <c r="AK24" s="105"/>
      <c r="AL24" s="105"/>
      <c r="AN24" s="105" t="s">
        <v>88</v>
      </c>
      <c r="AO24" s="105"/>
      <c r="AP24" s="105"/>
      <c r="AQ24" s="105"/>
      <c r="AR24" s="105"/>
      <c r="AS24" s="105"/>
      <c r="AT24" s="105"/>
      <c r="AU24" s="105"/>
      <c r="AV24" s="105"/>
      <c r="AW24" s="105"/>
    </row>
    <row r="25" spans="1:49" x14ac:dyDescent="0.25">
      <c r="A25" s="114" t="s">
        <v>94</v>
      </c>
      <c r="B25" s="114"/>
      <c r="C25" s="114"/>
      <c r="D25" s="114"/>
      <c r="E25" s="55">
        <f xml:space="preserve"> (300/1000)*(E19/1000)*'Calibration Curves'!B13</f>
        <v>54.045000000000002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R25" s="43">
        <f>(G25*$E$39)/G39</f>
        <v>0</v>
      </c>
      <c r="S25" s="43">
        <f t="shared" ref="S25:AA29" si="55">(H25*$E$39)/H39</f>
        <v>0</v>
      </c>
      <c r="T25" s="43">
        <f t="shared" si="55"/>
        <v>0</v>
      </c>
      <c r="U25" s="43">
        <f t="shared" si="55"/>
        <v>0</v>
      </c>
      <c r="V25" s="43">
        <f t="shared" si="55"/>
        <v>0</v>
      </c>
      <c r="W25" s="43">
        <f t="shared" si="55"/>
        <v>0</v>
      </c>
      <c r="X25" s="43">
        <f t="shared" si="55"/>
        <v>0</v>
      </c>
      <c r="Y25" s="43">
        <f t="shared" si="55"/>
        <v>0</v>
      </c>
      <c r="Z25" s="43">
        <f t="shared" si="55"/>
        <v>0</v>
      </c>
      <c r="AA25" s="43">
        <f t="shared" si="55"/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40">
        <v>0</v>
      </c>
      <c r="AJ25" s="40">
        <v>0</v>
      </c>
      <c r="AK25" s="40">
        <v>0</v>
      </c>
      <c r="AL25" s="40">
        <v>0</v>
      </c>
      <c r="AN25" s="43">
        <f>(AC25*$E$37)/AC39</f>
        <v>0</v>
      </c>
      <c r="AO25" s="43">
        <f t="shared" ref="AO25:AO29" si="56">(AD25*$E$37)/AD39</f>
        <v>0</v>
      </c>
      <c r="AP25" s="43">
        <f t="shared" ref="AP25:AP29" si="57">(AE25*$E$37)/AE39</f>
        <v>0</v>
      </c>
      <c r="AQ25" s="43">
        <f t="shared" ref="AQ25:AQ29" si="58">(AF25*$E$37)/AF39</f>
        <v>0</v>
      </c>
      <c r="AR25" s="43">
        <f t="shared" ref="AR25:AR29" si="59">(AG25*$E$37)/AG39</f>
        <v>0</v>
      </c>
      <c r="AS25" s="43">
        <f t="shared" ref="AS25:AS29" si="60">(AH25*$E$37)/AH39</f>
        <v>0</v>
      </c>
      <c r="AT25" s="43">
        <f t="shared" ref="AT25:AT29" si="61">(AI25*$E$37)/AI39</f>
        <v>0</v>
      </c>
      <c r="AU25" s="43">
        <f t="shared" ref="AU25:AU29" si="62">(AJ25*$E$37)/AJ39</f>
        <v>0</v>
      </c>
      <c r="AV25" s="43">
        <f t="shared" ref="AV25:AV29" si="63">(AK25*$E$37)/AK39</f>
        <v>0</v>
      </c>
      <c r="AW25" s="43">
        <f t="shared" ref="AW25:AW29" si="64">(AL25*$E$37)/AL39</f>
        <v>0</v>
      </c>
    </row>
    <row r="26" spans="1:49" x14ac:dyDescent="0.25">
      <c r="A26" s="114" t="s">
        <v>283</v>
      </c>
      <c r="B26" s="114"/>
      <c r="C26" s="114"/>
      <c r="D26" s="114"/>
      <c r="E26" s="56">
        <f xml:space="preserve"> ((300/1000)*(E20/1000)*'Calibration Curves'!C13)</f>
        <v>26.433</v>
      </c>
      <c r="G26" s="14">
        <v>2</v>
      </c>
      <c r="H26" s="90">
        <v>2</v>
      </c>
      <c r="I26" s="40">
        <v>2</v>
      </c>
      <c r="J26" s="40">
        <v>2</v>
      </c>
      <c r="K26" s="40">
        <v>2</v>
      </c>
      <c r="L26" s="40">
        <v>2</v>
      </c>
      <c r="M26" s="40">
        <v>2</v>
      </c>
      <c r="N26" s="40">
        <v>2</v>
      </c>
      <c r="O26" s="40">
        <v>2</v>
      </c>
      <c r="P26" s="40">
        <v>0</v>
      </c>
      <c r="R26" s="44">
        <f t="shared" ref="R26:R29" si="65">(G26*$E$39)/G40</f>
        <v>13.179913866346347</v>
      </c>
      <c r="S26" s="87">
        <f t="shared" si="55"/>
        <v>6.9037644061814198</v>
      </c>
      <c r="T26" s="43">
        <f t="shared" si="55"/>
        <v>6.9037644061814198</v>
      </c>
      <c r="U26" s="43">
        <f t="shared" si="55"/>
        <v>6.9037644061814198</v>
      </c>
      <c r="V26" s="43">
        <f t="shared" si="55"/>
        <v>6.9037644061814198</v>
      </c>
      <c r="W26" s="43">
        <f t="shared" si="55"/>
        <v>6.9037644061814198</v>
      </c>
      <c r="X26" s="43">
        <f t="shared" si="55"/>
        <v>6.9037644061814198</v>
      </c>
      <c r="Y26" s="43">
        <f t="shared" si="55"/>
        <v>6.9037644061814198</v>
      </c>
      <c r="Z26" s="43">
        <f t="shared" si="55"/>
        <v>6.9037644061814198</v>
      </c>
      <c r="AA26" s="43">
        <f t="shared" si="55"/>
        <v>0</v>
      </c>
      <c r="AC26" s="14">
        <v>2</v>
      </c>
      <c r="AD26" s="90">
        <v>2</v>
      </c>
      <c r="AE26" s="40">
        <v>2</v>
      </c>
      <c r="AF26" s="40">
        <v>2</v>
      </c>
      <c r="AG26" s="40">
        <v>2</v>
      </c>
      <c r="AH26" s="40">
        <v>2</v>
      </c>
      <c r="AI26" s="40">
        <v>2</v>
      </c>
      <c r="AJ26" s="40">
        <v>2</v>
      </c>
      <c r="AK26" s="40">
        <v>2</v>
      </c>
      <c r="AL26" s="40">
        <v>0</v>
      </c>
      <c r="AN26" s="44">
        <f t="shared" ref="AN26:AN28" si="66">(AC26*$E$37)/AC40</f>
        <v>16.373952637066708</v>
      </c>
      <c r="AO26" s="87">
        <f t="shared" si="56"/>
        <v>13.170353208075396</v>
      </c>
      <c r="AP26" s="43">
        <f t="shared" si="57"/>
        <v>13.769005626624278</v>
      </c>
      <c r="AQ26" s="43">
        <f t="shared" si="58"/>
        <v>14.424672561225433</v>
      </c>
      <c r="AR26" s="43">
        <f t="shared" si="59"/>
        <v>15.145906189286706</v>
      </c>
      <c r="AS26" s="43">
        <f t="shared" si="60"/>
        <v>15.943059146617585</v>
      </c>
      <c r="AT26" s="43">
        <f t="shared" si="61"/>
        <v>16.828784654763005</v>
      </c>
      <c r="AU26" s="43">
        <f t="shared" si="62"/>
        <v>17.818713163866711</v>
      </c>
      <c r="AV26" s="43">
        <f t="shared" si="63"/>
        <v>18.932382736608382</v>
      </c>
      <c r="AW26" s="43">
        <f t="shared" si="64"/>
        <v>0</v>
      </c>
    </row>
    <row r="27" spans="1:49" x14ac:dyDescent="0.25">
      <c r="A27" s="114" t="s">
        <v>93</v>
      </c>
      <c r="B27" s="114"/>
      <c r="C27" s="114"/>
      <c r="D27" s="114"/>
      <c r="E27" s="56">
        <f xml:space="preserve"> (200/1000)*(E21/1000)*'Calibration Curves'!D13</f>
        <v>31.03</v>
      </c>
      <c r="G27" s="14">
        <v>5</v>
      </c>
      <c r="H27" s="40">
        <v>5</v>
      </c>
      <c r="I27" s="90">
        <v>5</v>
      </c>
      <c r="J27" s="40">
        <v>5</v>
      </c>
      <c r="K27" s="40">
        <v>5</v>
      </c>
      <c r="L27" s="40">
        <v>5</v>
      </c>
      <c r="M27" s="90">
        <v>5</v>
      </c>
      <c r="N27" s="40">
        <v>5</v>
      </c>
      <c r="O27" s="40">
        <v>5</v>
      </c>
      <c r="P27" s="40">
        <v>0</v>
      </c>
      <c r="R27" s="44">
        <f t="shared" si="65"/>
        <v>28.995810505961963</v>
      </c>
      <c r="S27" s="43">
        <f t="shared" si="55"/>
        <v>16.858029363931372</v>
      </c>
      <c r="T27" s="87">
        <f t="shared" si="55"/>
        <v>16.858029363931372</v>
      </c>
      <c r="U27" s="43">
        <f t="shared" si="55"/>
        <v>16.858029363931372</v>
      </c>
      <c r="V27" s="43">
        <f t="shared" si="55"/>
        <v>16.858029363931372</v>
      </c>
      <c r="W27" s="43">
        <f t="shared" si="55"/>
        <v>16.858029363931372</v>
      </c>
      <c r="X27" s="87">
        <f t="shared" si="55"/>
        <v>16.858029363931372</v>
      </c>
      <c r="Y27" s="43">
        <f t="shared" si="55"/>
        <v>16.858029363931372</v>
      </c>
      <c r="Z27" s="43">
        <f t="shared" si="55"/>
        <v>16.858029363931372</v>
      </c>
      <c r="AA27" s="43">
        <f t="shared" si="55"/>
        <v>0</v>
      </c>
      <c r="AC27" s="14">
        <v>5</v>
      </c>
      <c r="AD27" s="40">
        <v>5</v>
      </c>
      <c r="AE27" s="90">
        <v>5</v>
      </c>
      <c r="AF27" s="40">
        <v>5</v>
      </c>
      <c r="AG27" s="40">
        <v>5</v>
      </c>
      <c r="AH27" s="40">
        <v>5</v>
      </c>
      <c r="AI27" s="90">
        <v>5</v>
      </c>
      <c r="AJ27" s="40">
        <v>5</v>
      </c>
      <c r="AK27" s="40">
        <v>5</v>
      </c>
      <c r="AL27" s="40">
        <v>0</v>
      </c>
      <c r="AN27" s="44">
        <f t="shared" si="66"/>
        <v>36.061681403063588</v>
      </c>
      <c r="AO27" s="43">
        <f t="shared" si="56"/>
        <v>29.697855273111191</v>
      </c>
      <c r="AP27" s="87">
        <f t="shared" si="57"/>
        <v>30.910012631197361</v>
      </c>
      <c r="AQ27" s="43">
        <f t="shared" si="58"/>
        <v>32.225332317631292</v>
      </c>
      <c r="AR27" s="43">
        <f t="shared" si="59"/>
        <v>33.657569309526018</v>
      </c>
      <c r="AS27" s="43">
        <f t="shared" si="60"/>
        <v>35.223037649503972</v>
      </c>
      <c r="AT27" s="87">
        <f t="shared" si="61"/>
        <v>36.941234608016359</v>
      </c>
      <c r="AU27" s="43">
        <f t="shared" si="62"/>
        <v>38.835656895606938</v>
      </c>
      <c r="AV27" s="43">
        <f t="shared" si="63"/>
        <v>40.934881592666777</v>
      </c>
      <c r="AW27" s="43">
        <f t="shared" si="64"/>
        <v>0</v>
      </c>
    </row>
    <row r="28" spans="1:49" x14ac:dyDescent="0.25">
      <c r="A28" s="114" t="s">
        <v>95</v>
      </c>
      <c r="B28" s="114"/>
      <c r="C28" s="114"/>
      <c r="D28" s="114"/>
      <c r="E28" s="56">
        <f xml:space="preserve"> (300/1000)*(E22/1000)*'Calibration Curves'!E13</f>
        <v>22.520999999999997</v>
      </c>
      <c r="G28" s="14">
        <v>7</v>
      </c>
      <c r="H28" s="40">
        <v>7</v>
      </c>
      <c r="I28" s="40">
        <v>7</v>
      </c>
      <c r="J28" s="90">
        <v>7</v>
      </c>
      <c r="K28" s="40">
        <v>7</v>
      </c>
      <c r="L28" s="90">
        <v>7</v>
      </c>
      <c r="M28" s="40">
        <v>7</v>
      </c>
      <c r="N28" s="40">
        <v>7</v>
      </c>
      <c r="O28" s="40">
        <v>7</v>
      </c>
      <c r="P28" s="40">
        <v>0</v>
      </c>
      <c r="R28" s="44">
        <f t="shared" si="65"/>
        <v>37.587161766987734</v>
      </c>
      <c r="S28" s="43">
        <f t="shared" si="55"/>
        <v>24.163175421634971</v>
      </c>
      <c r="T28" s="43">
        <f t="shared" si="55"/>
        <v>24.163175421634971</v>
      </c>
      <c r="U28" s="87">
        <f t="shared" si="55"/>
        <v>24.163175421634971</v>
      </c>
      <c r="V28" s="43">
        <f t="shared" si="55"/>
        <v>24.163175421634971</v>
      </c>
      <c r="W28" s="87">
        <f t="shared" si="55"/>
        <v>24.163175421634971</v>
      </c>
      <c r="X28" s="43">
        <f t="shared" si="55"/>
        <v>24.163175421634971</v>
      </c>
      <c r="Y28" s="43">
        <f t="shared" si="55"/>
        <v>24.163175421634971</v>
      </c>
      <c r="Z28" s="43">
        <f t="shared" si="55"/>
        <v>24.163175421634971</v>
      </c>
      <c r="AA28" s="43">
        <f t="shared" si="55"/>
        <v>0</v>
      </c>
      <c r="AC28" s="14">
        <v>7</v>
      </c>
      <c r="AD28" s="40">
        <v>7</v>
      </c>
      <c r="AE28" s="40">
        <v>7</v>
      </c>
      <c r="AF28" s="90">
        <v>7</v>
      </c>
      <c r="AG28" s="40">
        <v>7</v>
      </c>
      <c r="AH28" s="90">
        <v>7</v>
      </c>
      <c r="AI28" s="40">
        <v>7</v>
      </c>
      <c r="AJ28" s="40">
        <v>7</v>
      </c>
      <c r="AK28" s="40">
        <v>7</v>
      </c>
      <c r="AL28" s="40">
        <v>0</v>
      </c>
      <c r="AN28" s="44">
        <f t="shared" si="66"/>
        <v>57.308834229733478</v>
      </c>
      <c r="AO28" s="43">
        <f t="shared" si="56"/>
        <v>37.864765473216764</v>
      </c>
      <c r="AP28" s="43">
        <f t="shared" si="57"/>
        <v>39.267164194447012</v>
      </c>
      <c r="AQ28" s="87">
        <f t="shared" si="58"/>
        <v>40.77743974038728</v>
      </c>
      <c r="AR28" s="43">
        <f t="shared" si="59"/>
        <v>42.408537330002773</v>
      </c>
      <c r="AS28" s="87">
        <f t="shared" si="60"/>
        <v>44.175559718752886</v>
      </c>
      <c r="AT28" s="43">
        <f t="shared" si="61"/>
        <v>46.096236228263884</v>
      </c>
      <c r="AU28" s="43">
        <f t="shared" si="62"/>
        <v>48.191519693184972</v>
      </c>
      <c r="AV28" s="43">
        <f t="shared" si="63"/>
        <v>50.486353964289016</v>
      </c>
      <c r="AW28" s="43">
        <f t="shared" si="64"/>
        <v>0</v>
      </c>
    </row>
    <row r="29" spans="1:49" x14ac:dyDescent="0.25">
      <c r="A29" s="1"/>
      <c r="B29" s="1"/>
      <c r="C29" s="45"/>
      <c r="D29" s="45"/>
      <c r="E29" s="1"/>
      <c r="G29" s="14">
        <v>10</v>
      </c>
      <c r="H29" s="40">
        <v>0</v>
      </c>
      <c r="I29" s="40">
        <v>0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R29" s="44">
        <f t="shared" si="65"/>
        <v>48.326350843269935</v>
      </c>
      <c r="S29" s="43">
        <f t="shared" si="55"/>
        <v>0</v>
      </c>
      <c r="T29" s="43">
        <f t="shared" si="55"/>
        <v>0</v>
      </c>
      <c r="U29" s="43">
        <f t="shared" si="55"/>
        <v>0</v>
      </c>
      <c r="V29" s="43">
        <f t="shared" si="55"/>
        <v>0</v>
      </c>
      <c r="W29" s="43">
        <f t="shared" si="55"/>
        <v>0</v>
      </c>
      <c r="X29" s="43">
        <f t="shared" si="55"/>
        <v>0</v>
      </c>
      <c r="Y29" s="43">
        <f t="shared" si="55"/>
        <v>0</v>
      </c>
      <c r="Z29" s="43">
        <f t="shared" si="55"/>
        <v>0</v>
      </c>
      <c r="AA29" s="43">
        <f t="shared" si="55"/>
        <v>0</v>
      </c>
      <c r="AC29" s="14">
        <v>10</v>
      </c>
      <c r="AD29" s="40">
        <v>0</v>
      </c>
      <c r="AE29" s="40">
        <v>0</v>
      </c>
      <c r="AF29" s="40">
        <v>0</v>
      </c>
      <c r="AG29" s="40">
        <v>0</v>
      </c>
      <c r="AH29" s="40">
        <v>0</v>
      </c>
      <c r="AI29" s="40">
        <v>0</v>
      </c>
      <c r="AJ29" s="40">
        <v>0</v>
      </c>
      <c r="AK29" s="40">
        <v>0</v>
      </c>
      <c r="AL29" s="40">
        <v>0</v>
      </c>
      <c r="AN29" s="44">
        <f>(AC29*$E$37)/AC43</f>
        <v>75.729530946433528</v>
      </c>
      <c r="AO29" s="43">
        <f t="shared" si="56"/>
        <v>0</v>
      </c>
      <c r="AP29" s="43">
        <f t="shared" si="57"/>
        <v>0</v>
      </c>
      <c r="AQ29" s="43">
        <f t="shared" si="58"/>
        <v>0</v>
      </c>
      <c r="AR29" s="43">
        <f t="shared" si="59"/>
        <v>0</v>
      </c>
      <c r="AS29" s="43">
        <f t="shared" si="60"/>
        <v>0</v>
      </c>
      <c r="AT29" s="43">
        <f t="shared" si="61"/>
        <v>0</v>
      </c>
      <c r="AU29" s="43">
        <f t="shared" si="62"/>
        <v>0</v>
      </c>
      <c r="AV29" s="43">
        <f t="shared" si="63"/>
        <v>0</v>
      </c>
      <c r="AW29" s="43">
        <f t="shared" si="64"/>
        <v>0</v>
      </c>
    </row>
    <row r="30" spans="1:49" x14ac:dyDescent="0.25">
      <c r="A30" s="113" t="s">
        <v>286</v>
      </c>
      <c r="B30" s="113"/>
      <c r="C30" s="113"/>
      <c r="D30" s="113"/>
      <c r="E30" s="113"/>
      <c r="G30" s="112" t="s">
        <v>108</v>
      </c>
      <c r="H30" s="112"/>
      <c r="I30" s="112"/>
      <c r="J30" s="50">
        <f>SUM(G25:P29)</f>
        <v>136</v>
      </c>
      <c r="R30" s="115" t="s">
        <v>97</v>
      </c>
      <c r="S30" s="116"/>
      <c r="T30" s="52">
        <f>SMALL(R25:AA29,COUNTIF(R25:AA29,0)+1)</f>
        <v>6.9037644061814198</v>
      </c>
      <c r="U30" s="53" t="s">
        <v>98</v>
      </c>
      <c r="V30" s="54">
        <f>MAX(R25:AA29)</f>
        <v>48.326350843269935</v>
      </c>
      <c r="AC30" s="112" t="s">
        <v>108</v>
      </c>
      <c r="AD30" s="112"/>
      <c r="AE30" s="112"/>
      <c r="AF30" s="50">
        <f>SUM(AC25:AL29)</f>
        <v>136</v>
      </c>
      <c r="AN30" s="115" t="s">
        <v>97</v>
      </c>
      <c r="AO30" s="116"/>
      <c r="AP30" s="52">
        <f>SMALL(AN25:AW29,COUNTIF(AN25:AW29,0)+1)</f>
        <v>13.170353208075396</v>
      </c>
      <c r="AQ30" s="53" t="s">
        <v>98</v>
      </c>
      <c r="AR30" s="54">
        <f>MAX(AN25:AW29)</f>
        <v>75.729530946433528</v>
      </c>
    </row>
    <row r="31" spans="1:49" x14ac:dyDescent="0.25">
      <c r="A31" s="114" t="s">
        <v>94</v>
      </c>
      <c r="B31" s="114"/>
      <c r="C31" s="114"/>
      <c r="D31" s="114"/>
      <c r="E31" s="57">
        <v>54.570700000000002</v>
      </c>
      <c r="G31" s="105" t="s">
        <v>80</v>
      </c>
      <c r="H31" s="105"/>
      <c r="I31" s="105"/>
      <c r="J31" s="105"/>
      <c r="K31" s="105"/>
      <c r="L31" s="105"/>
      <c r="M31" s="105"/>
      <c r="N31" s="105"/>
      <c r="O31" s="105"/>
      <c r="P31" s="105"/>
      <c r="R31" s="105" t="s">
        <v>89</v>
      </c>
      <c r="S31" s="105"/>
      <c r="T31" s="105"/>
      <c r="U31" s="105"/>
      <c r="V31" s="105"/>
      <c r="W31" s="105"/>
      <c r="X31" s="105"/>
      <c r="Y31" s="105"/>
      <c r="Z31" s="105"/>
      <c r="AA31" s="105"/>
      <c r="AC31" s="105" t="s">
        <v>80</v>
      </c>
      <c r="AD31" s="105"/>
      <c r="AE31" s="105"/>
      <c r="AF31" s="105"/>
      <c r="AG31" s="105"/>
      <c r="AH31" s="105"/>
      <c r="AI31" s="105"/>
      <c r="AJ31" s="105"/>
      <c r="AK31" s="105"/>
      <c r="AL31" s="105"/>
      <c r="AN31" s="105" t="s">
        <v>89</v>
      </c>
      <c r="AO31" s="105"/>
      <c r="AP31" s="105"/>
      <c r="AQ31" s="105"/>
      <c r="AR31" s="105"/>
      <c r="AS31" s="105"/>
      <c r="AT31" s="105"/>
      <c r="AU31" s="105"/>
      <c r="AV31" s="105"/>
      <c r="AW31" s="105"/>
    </row>
    <row r="32" spans="1:49" x14ac:dyDescent="0.25">
      <c r="A32" s="114" t="s">
        <v>283</v>
      </c>
      <c r="B32" s="114"/>
      <c r="C32" s="114"/>
      <c r="D32" s="114"/>
      <c r="E32" s="57">
        <f>6.9223+6.6506+6.8692+6.6729</f>
        <v>27.115000000000002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14">
        <v>10</v>
      </c>
      <c r="R32" s="43">
        <f>(G32*$E$40)/G39</f>
        <v>0</v>
      </c>
      <c r="S32" s="43">
        <f t="shared" ref="S32:AA32" si="67">(H32*$E$40)/H39</f>
        <v>0</v>
      </c>
      <c r="T32" s="43">
        <f t="shared" si="67"/>
        <v>0</v>
      </c>
      <c r="U32" s="43">
        <f t="shared" si="67"/>
        <v>0</v>
      </c>
      <c r="V32" s="43">
        <f t="shared" si="67"/>
        <v>0</v>
      </c>
      <c r="W32" s="43">
        <f t="shared" si="67"/>
        <v>0</v>
      </c>
      <c r="X32" s="43">
        <f t="shared" si="67"/>
        <v>0</v>
      </c>
      <c r="Y32" s="43">
        <f t="shared" si="67"/>
        <v>0</v>
      </c>
      <c r="Z32" s="43">
        <f t="shared" si="67"/>
        <v>0</v>
      </c>
      <c r="AA32" s="44">
        <f t="shared" si="67"/>
        <v>100.06127614226723</v>
      </c>
      <c r="AC32" s="40">
        <v>0</v>
      </c>
      <c r="AD32" s="40">
        <v>0</v>
      </c>
      <c r="AE32" s="40">
        <v>0</v>
      </c>
      <c r="AF32" s="40">
        <v>0</v>
      </c>
      <c r="AG32" s="40">
        <v>0</v>
      </c>
      <c r="AH32" s="40">
        <v>0</v>
      </c>
      <c r="AI32" s="40">
        <v>0</v>
      </c>
      <c r="AJ32" s="40">
        <v>0</v>
      </c>
      <c r="AK32" s="40">
        <v>0</v>
      </c>
      <c r="AL32" s="14">
        <v>2</v>
      </c>
      <c r="AN32" s="43">
        <f>(AC32*$E$37)/AC39</f>
        <v>0</v>
      </c>
      <c r="AO32" s="43">
        <f t="shared" ref="AO32:AO36" si="68">(AD32*$E$37)/AD39</f>
        <v>0</v>
      </c>
      <c r="AP32" s="43">
        <f t="shared" ref="AP32:AP36" si="69">(AE32*$E$37)/AE39</f>
        <v>0</v>
      </c>
      <c r="AQ32" s="43">
        <f t="shared" ref="AQ32:AQ36" si="70">(AF32*$E$37)/AF39</f>
        <v>0</v>
      </c>
      <c r="AR32" s="43">
        <f t="shared" ref="AR32:AR36" si="71">(AG32*$E$37)/AG39</f>
        <v>0</v>
      </c>
      <c r="AS32" s="43">
        <f t="shared" ref="AS32:AS36" si="72">(AH32*$E$37)/AH39</f>
        <v>0</v>
      </c>
      <c r="AT32" s="43">
        <f t="shared" ref="AT32:AT36" si="73">(AI32*$E$37)/AI39</f>
        <v>0</v>
      </c>
      <c r="AU32" s="43">
        <f t="shared" ref="AU32:AU36" si="74">(AJ32*$E$37)/AJ39</f>
        <v>0</v>
      </c>
      <c r="AV32" s="43">
        <f t="shared" ref="AV32:AV36" si="75">(AK32*$E$37)/AK39</f>
        <v>0</v>
      </c>
      <c r="AW32" s="44">
        <f>(AL32*$E$37)/AL39</f>
        <v>18.932382736608382</v>
      </c>
    </row>
    <row r="33" spans="1:49" x14ac:dyDescent="0.25">
      <c r="A33" s="114" t="s">
        <v>93</v>
      </c>
      <c r="B33" s="114"/>
      <c r="C33" s="114"/>
      <c r="D33" s="114"/>
      <c r="E33" s="57">
        <f>15.0894+7.4041</f>
        <v>22.493499999999997</v>
      </c>
      <c r="G33" s="40">
        <v>0</v>
      </c>
      <c r="H33" s="90">
        <v>7</v>
      </c>
      <c r="I33" s="40">
        <v>7</v>
      </c>
      <c r="J33" s="40">
        <v>7</v>
      </c>
      <c r="K33" s="40">
        <v>7</v>
      </c>
      <c r="L33" s="40">
        <v>7</v>
      </c>
      <c r="M33" s="40">
        <v>7</v>
      </c>
      <c r="N33" s="40">
        <v>7</v>
      </c>
      <c r="O33" s="40">
        <v>7</v>
      </c>
      <c r="P33" s="14">
        <v>7</v>
      </c>
      <c r="R33" s="43">
        <f t="shared" ref="R33:R36" si="76">(G33*$E$40)/G40</f>
        <v>0</v>
      </c>
      <c r="S33" s="87">
        <f t="shared" ref="S33:S36" si="77">(H33*$E$40)/H40</f>
        <v>50.030638071133623</v>
      </c>
      <c r="T33" s="43">
        <f t="shared" ref="T33:T36" si="78">(I33*$E$40)/I40</f>
        <v>50.030638071133623</v>
      </c>
      <c r="U33" s="43">
        <f t="shared" ref="U33:U36" si="79">(J33*$E$40)/J40</f>
        <v>50.030638071133623</v>
      </c>
      <c r="V33" s="43">
        <f t="shared" ref="V33:V36" si="80">(K33*$E$40)/K40</f>
        <v>50.030638071133623</v>
      </c>
      <c r="W33" s="43">
        <f t="shared" ref="W33:W36" si="81">(L33*$E$40)/L40</f>
        <v>50.030638071133623</v>
      </c>
      <c r="X33" s="43">
        <f t="shared" ref="X33:X36" si="82">(M33*$E$40)/M40</f>
        <v>50.030638071133623</v>
      </c>
      <c r="Y33" s="43">
        <f>(N33*$E$40)/N40</f>
        <v>50.030638071133623</v>
      </c>
      <c r="Z33" s="43">
        <f t="shared" ref="Z33:Z36" si="83">(O33*$E$40)/O40</f>
        <v>50.030638071133623</v>
      </c>
      <c r="AA33" s="44">
        <f t="shared" ref="AA33:AA36" si="84">(P33*$E$40)/P40</f>
        <v>77.825436999541196</v>
      </c>
      <c r="AC33" s="40">
        <v>5</v>
      </c>
      <c r="AD33" s="90">
        <v>5</v>
      </c>
      <c r="AE33" s="40">
        <v>5</v>
      </c>
      <c r="AF33" s="40">
        <v>5</v>
      </c>
      <c r="AG33" s="40">
        <v>5</v>
      </c>
      <c r="AH33" s="40">
        <v>5</v>
      </c>
      <c r="AI33" s="40">
        <v>5</v>
      </c>
      <c r="AJ33" s="40">
        <v>5</v>
      </c>
      <c r="AK33" s="40">
        <v>5</v>
      </c>
      <c r="AL33" s="14">
        <v>5</v>
      </c>
      <c r="AN33" s="43">
        <f t="shared" ref="AN33:AN36" si="85">(AC33*$E$37)/AC40</f>
        <v>40.934881592666777</v>
      </c>
      <c r="AO33" s="87">
        <f t="shared" si="68"/>
        <v>32.925883020188493</v>
      </c>
      <c r="AP33" s="43">
        <f t="shared" si="69"/>
        <v>34.422514066560694</v>
      </c>
      <c r="AQ33" s="43">
        <f t="shared" si="70"/>
        <v>36.061681403063588</v>
      </c>
      <c r="AR33" s="43">
        <f t="shared" si="71"/>
        <v>37.864765473216764</v>
      </c>
      <c r="AS33" s="43">
        <f t="shared" si="72"/>
        <v>39.857647866543964</v>
      </c>
      <c r="AT33" s="43">
        <f t="shared" si="73"/>
        <v>42.071961636907517</v>
      </c>
      <c r="AU33" s="43">
        <f t="shared" si="74"/>
        <v>44.546782909666781</v>
      </c>
      <c r="AV33" s="43">
        <f t="shared" si="75"/>
        <v>47.330956841520958</v>
      </c>
      <c r="AW33" s="44">
        <f t="shared" ref="AW33:AW36" si="86">(AL33*$E$37)/AL40</f>
        <v>43.274017683676306</v>
      </c>
    </row>
    <row r="34" spans="1:49" x14ac:dyDescent="0.25">
      <c r="A34" s="114" t="s">
        <v>95</v>
      </c>
      <c r="B34" s="114"/>
      <c r="C34" s="114"/>
      <c r="D34" s="114"/>
      <c r="E34" s="57">
        <v>22.534800000000001</v>
      </c>
      <c r="G34" s="40">
        <v>0</v>
      </c>
      <c r="H34" s="40">
        <v>5</v>
      </c>
      <c r="I34" s="90">
        <v>5</v>
      </c>
      <c r="J34" s="40">
        <v>5</v>
      </c>
      <c r="K34" s="40">
        <v>5</v>
      </c>
      <c r="L34" s="40">
        <v>5</v>
      </c>
      <c r="M34" s="90">
        <v>5</v>
      </c>
      <c r="N34" s="40">
        <v>5</v>
      </c>
      <c r="O34" s="40">
        <v>5</v>
      </c>
      <c r="P34" s="14">
        <v>5</v>
      </c>
      <c r="R34" s="43">
        <f t="shared" si="76"/>
        <v>0</v>
      </c>
      <c r="S34" s="43">
        <f t="shared" si="77"/>
        <v>34.905096328697873</v>
      </c>
      <c r="T34" s="87">
        <f t="shared" si="78"/>
        <v>34.905096328697873</v>
      </c>
      <c r="U34" s="43">
        <f t="shared" si="79"/>
        <v>34.905096328697873</v>
      </c>
      <c r="V34" s="43">
        <f t="shared" si="80"/>
        <v>34.905096328697873</v>
      </c>
      <c r="W34" s="43">
        <f t="shared" si="81"/>
        <v>34.905096328697873</v>
      </c>
      <c r="X34" s="87">
        <f t="shared" si="82"/>
        <v>34.905096328697873</v>
      </c>
      <c r="Y34" s="43">
        <f>(N34*$E$40)/N41</f>
        <v>34.905096328697873</v>
      </c>
      <c r="Z34" s="43">
        <f t="shared" si="83"/>
        <v>34.905096328697873</v>
      </c>
      <c r="AA34" s="44">
        <f t="shared" si="84"/>
        <v>60.036765685360344</v>
      </c>
      <c r="AC34" s="40">
        <v>7</v>
      </c>
      <c r="AD34" s="40">
        <v>7</v>
      </c>
      <c r="AE34" s="90">
        <v>7</v>
      </c>
      <c r="AF34" s="40">
        <v>7</v>
      </c>
      <c r="AG34" s="40">
        <v>7</v>
      </c>
      <c r="AH34" s="40">
        <v>7</v>
      </c>
      <c r="AI34" s="90">
        <v>7</v>
      </c>
      <c r="AJ34" s="40">
        <v>7</v>
      </c>
      <c r="AK34" s="40">
        <v>7</v>
      </c>
      <c r="AL34" s="14">
        <v>7</v>
      </c>
      <c r="AN34" s="43">
        <f t="shared" si="85"/>
        <v>50.486353964289016</v>
      </c>
      <c r="AO34" s="43">
        <f t="shared" si="68"/>
        <v>41.576997382355657</v>
      </c>
      <c r="AP34" s="87">
        <f t="shared" si="69"/>
        <v>43.274017683676298</v>
      </c>
      <c r="AQ34" s="43">
        <f t="shared" si="70"/>
        <v>45.115465244683804</v>
      </c>
      <c r="AR34" s="43">
        <f t="shared" si="71"/>
        <v>47.120597033336416</v>
      </c>
      <c r="AS34" s="43">
        <f t="shared" si="72"/>
        <v>49.312252709305547</v>
      </c>
      <c r="AT34" s="87">
        <f t="shared" si="73"/>
        <v>51.717728451222897</v>
      </c>
      <c r="AU34" s="43">
        <f t="shared" si="74"/>
        <v>54.369919653849706</v>
      </c>
      <c r="AV34" s="43">
        <f t="shared" si="75"/>
        <v>57.308834229733478</v>
      </c>
      <c r="AW34" s="44">
        <f t="shared" si="86"/>
        <v>57.308834229733478</v>
      </c>
    </row>
    <row r="35" spans="1:49" x14ac:dyDescent="0.25">
      <c r="A35" s="1"/>
      <c r="B35" s="1"/>
      <c r="C35" s="45"/>
      <c r="D35" s="45"/>
      <c r="E35" s="1"/>
      <c r="G35" s="40">
        <v>0</v>
      </c>
      <c r="H35" s="40">
        <v>2</v>
      </c>
      <c r="I35" s="40">
        <v>2</v>
      </c>
      <c r="J35" s="90">
        <v>2</v>
      </c>
      <c r="K35" s="40">
        <v>2</v>
      </c>
      <c r="L35" s="90">
        <v>2</v>
      </c>
      <c r="M35" s="40">
        <v>2</v>
      </c>
      <c r="N35" s="40">
        <v>2</v>
      </c>
      <c r="O35" s="40">
        <v>2</v>
      </c>
      <c r="P35" s="14">
        <v>2</v>
      </c>
      <c r="R35" s="43">
        <f t="shared" si="76"/>
        <v>0</v>
      </c>
      <c r="S35" s="43">
        <f t="shared" si="77"/>
        <v>14.29446802032389</v>
      </c>
      <c r="T35" s="43">
        <f t="shared" si="78"/>
        <v>14.29446802032389</v>
      </c>
      <c r="U35" s="87">
        <f t="shared" si="79"/>
        <v>14.29446802032389</v>
      </c>
      <c r="V35" s="43">
        <f t="shared" si="80"/>
        <v>14.29446802032389</v>
      </c>
      <c r="W35" s="87">
        <f t="shared" si="81"/>
        <v>14.29446802032389</v>
      </c>
      <c r="X35" s="43">
        <f t="shared" si="82"/>
        <v>14.29446802032389</v>
      </c>
      <c r="Y35" s="43">
        <f>(N35*$E$40)/N42</f>
        <v>14.29446802032389</v>
      </c>
      <c r="Z35" s="43">
        <f t="shared" si="83"/>
        <v>14.29446802032389</v>
      </c>
      <c r="AA35" s="44">
        <f t="shared" si="84"/>
        <v>27.289438947891064</v>
      </c>
      <c r="AC35" s="40">
        <v>0</v>
      </c>
      <c r="AD35" s="40">
        <v>10</v>
      </c>
      <c r="AE35" s="40">
        <v>10</v>
      </c>
      <c r="AF35" s="90">
        <v>10</v>
      </c>
      <c r="AG35" s="40">
        <v>10</v>
      </c>
      <c r="AH35" s="90">
        <v>10</v>
      </c>
      <c r="AI35" s="40">
        <v>10</v>
      </c>
      <c r="AJ35" s="40">
        <v>10</v>
      </c>
      <c r="AK35" s="40">
        <v>10</v>
      </c>
      <c r="AL35" s="14">
        <v>10</v>
      </c>
      <c r="AN35" s="43">
        <f t="shared" si="85"/>
        <v>0</v>
      </c>
      <c r="AO35" s="43">
        <f t="shared" si="68"/>
        <v>54.092522104595382</v>
      </c>
      <c r="AP35" s="43">
        <f t="shared" si="69"/>
        <v>56.095948849210025</v>
      </c>
      <c r="AQ35" s="87">
        <f t="shared" si="70"/>
        <v>58.253485343410411</v>
      </c>
      <c r="AR35" s="43">
        <f t="shared" si="71"/>
        <v>60.583624757146829</v>
      </c>
      <c r="AS35" s="87">
        <f t="shared" si="72"/>
        <v>63.107942455361275</v>
      </c>
      <c r="AT35" s="43">
        <f t="shared" si="73"/>
        <v>65.851766040376987</v>
      </c>
      <c r="AU35" s="43">
        <f t="shared" si="74"/>
        <v>68.845028133121389</v>
      </c>
      <c r="AV35" s="43">
        <f t="shared" si="75"/>
        <v>72.123362806127176</v>
      </c>
      <c r="AW35" s="44">
        <f t="shared" si="86"/>
        <v>75.729530946433528</v>
      </c>
    </row>
    <row r="36" spans="1:49" x14ac:dyDescent="0.25">
      <c r="A36" s="113" t="s">
        <v>96</v>
      </c>
      <c r="B36" s="113"/>
      <c r="C36" s="113"/>
      <c r="D36" s="113"/>
      <c r="E36" s="113"/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0</v>
      </c>
      <c r="N36" s="40">
        <v>0</v>
      </c>
      <c r="O36" s="40">
        <v>0</v>
      </c>
      <c r="P36" s="40">
        <v>0</v>
      </c>
      <c r="R36" s="43">
        <f t="shared" si="76"/>
        <v>0</v>
      </c>
      <c r="S36" s="43">
        <f t="shared" si="77"/>
        <v>0</v>
      </c>
      <c r="T36" s="43">
        <f t="shared" si="78"/>
        <v>0</v>
      </c>
      <c r="U36" s="43">
        <f t="shared" si="79"/>
        <v>0</v>
      </c>
      <c r="V36" s="43">
        <f t="shared" si="80"/>
        <v>0</v>
      </c>
      <c r="W36" s="43">
        <f t="shared" si="81"/>
        <v>0</v>
      </c>
      <c r="X36" s="43">
        <f t="shared" si="82"/>
        <v>0</v>
      </c>
      <c r="Y36" s="43">
        <f>(N36*$E$40)/N43</f>
        <v>0</v>
      </c>
      <c r="Z36" s="43">
        <f t="shared" si="83"/>
        <v>0</v>
      </c>
      <c r="AA36" s="43">
        <f t="shared" si="84"/>
        <v>0</v>
      </c>
      <c r="AC36" s="40">
        <v>0</v>
      </c>
      <c r="AD36" s="40">
        <v>0</v>
      </c>
      <c r="AE36" s="40">
        <v>0</v>
      </c>
      <c r="AF36" s="40">
        <v>0</v>
      </c>
      <c r="AG36" s="40">
        <v>0</v>
      </c>
      <c r="AH36" s="40">
        <v>0</v>
      </c>
      <c r="AI36" s="40">
        <v>0</v>
      </c>
      <c r="AJ36" s="40">
        <v>0</v>
      </c>
      <c r="AK36" s="40">
        <v>0</v>
      </c>
      <c r="AL36" s="40">
        <v>0</v>
      </c>
      <c r="AN36" s="43">
        <f t="shared" si="85"/>
        <v>0</v>
      </c>
      <c r="AO36" s="43">
        <f t="shared" si="68"/>
        <v>0</v>
      </c>
      <c r="AP36" s="43">
        <f t="shared" si="69"/>
        <v>0</v>
      </c>
      <c r="AQ36" s="43">
        <f t="shared" si="70"/>
        <v>0</v>
      </c>
      <c r="AR36" s="43">
        <f t="shared" si="71"/>
        <v>0</v>
      </c>
      <c r="AS36" s="43">
        <f t="shared" si="72"/>
        <v>0</v>
      </c>
      <c r="AT36" s="43">
        <f t="shared" si="73"/>
        <v>0</v>
      </c>
      <c r="AU36" s="43">
        <f t="shared" si="74"/>
        <v>0</v>
      </c>
      <c r="AV36" s="43">
        <f t="shared" si="75"/>
        <v>0</v>
      </c>
      <c r="AW36" s="43">
        <f t="shared" si="86"/>
        <v>0</v>
      </c>
    </row>
    <row r="37" spans="1:49" x14ac:dyDescent="0.25">
      <c r="A37" s="107" t="s">
        <v>84</v>
      </c>
      <c r="B37" s="107"/>
      <c r="C37" s="107"/>
      <c r="D37" s="107"/>
      <c r="E37" s="55">
        <f>(E31/'Calibration Curves'!B13)*1000/(E19/1000)</f>
        <v>302.91812378573411</v>
      </c>
      <c r="G37" s="112" t="s">
        <v>108</v>
      </c>
      <c r="H37" s="112"/>
      <c r="I37" s="112"/>
      <c r="J37" s="50">
        <f>SUM(G32:P36)</f>
        <v>136</v>
      </c>
      <c r="R37" s="115" t="s">
        <v>97</v>
      </c>
      <c r="S37" s="116"/>
      <c r="T37" s="52">
        <f>SMALL(R32:AA36,COUNTIF(R32:AA36,0)+1)</f>
        <v>14.29446802032389</v>
      </c>
      <c r="U37" s="53" t="s">
        <v>98</v>
      </c>
      <c r="V37" s="54">
        <f>MAX(R32:AA36)</f>
        <v>100.06127614226723</v>
      </c>
      <c r="AC37" s="112" t="s">
        <v>108</v>
      </c>
      <c r="AD37" s="112"/>
      <c r="AE37" s="112"/>
      <c r="AF37" s="50">
        <f>SUM(AC32:AL36)</f>
        <v>212</v>
      </c>
      <c r="AN37" s="115" t="s">
        <v>97</v>
      </c>
      <c r="AO37" s="116"/>
      <c r="AP37" s="52">
        <f>SMALL(AN32:AW36,COUNTIF(AN32:AW36,0)+1)</f>
        <v>18.932382736608382</v>
      </c>
      <c r="AQ37" s="53" t="s">
        <v>98</v>
      </c>
      <c r="AR37" s="54">
        <f>MAX(AN32:AW36)</f>
        <v>75.729530946433528</v>
      </c>
    </row>
    <row r="38" spans="1:49" x14ac:dyDescent="0.25">
      <c r="A38" s="107" t="s">
        <v>308</v>
      </c>
      <c r="B38" s="107"/>
      <c r="C38" s="107"/>
      <c r="D38" s="107"/>
      <c r="E38" s="85">
        <f>((E32/(100/85))/'Calibration Curves'!C13)*1000/(E20/1000)</f>
        <v>261.57927590511861</v>
      </c>
      <c r="G38" s="105" t="s">
        <v>100</v>
      </c>
      <c r="H38" s="105"/>
      <c r="I38" s="105"/>
      <c r="J38" s="105"/>
      <c r="K38" s="105"/>
      <c r="L38" s="105"/>
      <c r="M38" s="105"/>
      <c r="N38" s="105"/>
      <c r="O38" s="105"/>
      <c r="P38" s="105"/>
      <c r="AC38" s="105" t="s">
        <v>100</v>
      </c>
      <c r="AD38" s="105"/>
      <c r="AE38" s="105"/>
      <c r="AF38" s="105"/>
      <c r="AG38" s="105"/>
      <c r="AH38" s="105"/>
      <c r="AI38" s="105"/>
      <c r="AJ38" s="105"/>
      <c r="AK38" s="105"/>
      <c r="AL38" s="105"/>
    </row>
    <row r="39" spans="1:49" x14ac:dyDescent="0.25">
      <c r="A39" s="107" t="s">
        <v>86</v>
      </c>
      <c r="B39" s="107"/>
      <c r="C39" s="107"/>
      <c r="D39" s="107"/>
      <c r="E39" s="85">
        <f>(E33/'Calibration Curves'!D13)*1000/(E21/1000)</f>
        <v>144.97905252980982</v>
      </c>
      <c r="G39" s="40">
        <f>SUM(G4,G11,G18,G25,G32)</f>
        <v>22</v>
      </c>
      <c r="H39" s="40">
        <f t="shared" ref="H39:P39" si="87">SUM(H4,H11,H18,H25,H32)</f>
        <v>23</v>
      </c>
      <c r="I39" s="40">
        <f t="shared" si="87"/>
        <v>24</v>
      </c>
      <c r="J39" s="40">
        <f t="shared" si="87"/>
        <v>25</v>
      </c>
      <c r="K39" s="40">
        <f t="shared" si="87"/>
        <v>26</v>
      </c>
      <c r="L39" s="40">
        <f t="shared" si="87"/>
        <v>27</v>
      </c>
      <c r="M39" s="40">
        <f t="shared" si="87"/>
        <v>28</v>
      </c>
      <c r="N39" s="40">
        <f t="shared" si="87"/>
        <v>29</v>
      </c>
      <c r="O39" s="40">
        <f t="shared" si="87"/>
        <v>30</v>
      </c>
      <c r="P39" s="40">
        <f t="shared" si="87"/>
        <v>30</v>
      </c>
      <c r="AC39" s="40">
        <f>SUM(AC4,AC11,AC18,AC25,AC32)</f>
        <v>40</v>
      </c>
      <c r="AD39" s="40">
        <f t="shared" ref="AD39:AL39" si="88">SUM(AD4,AD11,AD18,AD25,AD32)</f>
        <v>39</v>
      </c>
      <c r="AE39" s="40">
        <f t="shared" si="88"/>
        <v>38</v>
      </c>
      <c r="AF39" s="40">
        <f t="shared" si="88"/>
        <v>37</v>
      </c>
      <c r="AG39" s="40">
        <f t="shared" si="88"/>
        <v>36</v>
      </c>
      <c r="AH39" s="40">
        <f t="shared" si="88"/>
        <v>35</v>
      </c>
      <c r="AI39" s="40">
        <f t="shared" si="88"/>
        <v>34</v>
      </c>
      <c r="AJ39" s="40">
        <f t="shared" si="88"/>
        <v>33</v>
      </c>
      <c r="AK39" s="40">
        <f t="shared" si="88"/>
        <v>32</v>
      </c>
      <c r="AL39" s="40">
        <f t="shared" si="88"/>
        <v>32</v>
      </c>
    </row>
    <row r="40" spans="1:49" x14ac:dyDescent="0.25">
      <c r="A40" s="107" t="s">
        <v>87</v>
      </c>
      <c r="B40" s="107"/>
      <c r="C40" s="107"/>
      <c r="D40" s="107"/>
      <c r="E40" s="55">
        <f>(E34/'Calibration Curves'!E13)*1000/(E22/1000)</f>
        <v>300.18382842680171</v>
      </c>
      <c r="G40" s="40">
        <f t="shared" ref="G40:P40" si="89">SUM(G5,G12,G19,G26,G33)</f>
        <v>22</v>
      </c>
      <c r="H40" s="40">
        <f t="shared" si="89"/>
        <v>42</v>
      </c>
      <c r="I40" s="40">
        <f t="shared" si="89"/>
        <v>42</v>
      </c>
      <c r="J40" s="40">
        <f t="shared" si="89"/>
        <v>42</v>
      </c>
      <c r="K40" s="40">
        <f t="shared" si="89"/>
        <v>42</v>
      </c>
      <c r="L40" s="40">
        <f t="shared" si="89"/>
        <v>42</v>
      </c>
      <c r="M40" s="40">
        <f t="shared" si="89"/>
        <v>42</v>
      </c>
      <c r="N40" s="40">
        <f t="shared" si="89"/>
        <v>42</v>
      </c>
      <c r="O40" s="40">
        <f t="shared" si="89"/>
        <v>42</v>
      </c>
      <c r="P40" s="40">
        <f t="shared" si="89"/>
        <v>27</v>
      </c>
      <c r="AC40" s="40">
        <f t="shared" ref="AC40:AL40" si="90">SUM(AC5,AC12,AC19,AC26,AC33)</f>
        <v>37</v>
      </c>
      <c r="AD40" s="40">
        <f t="shared" si="90"/>
        <v>46</v>
      </c>
      <c r="AE40" s="40">
        <f t="shared" si="90"/>
        <v>44</v>
      </c>
      <c r="AF40" s="40">
        <f t="shared" si="90"/>
        <v>42</v>
      </c>
      <c r="AG40" s="40">
        <f t="shared" si="90"/>
        <v>40</v>
      </c>
      <c r="AH40" s="40">
        <f t="shared" si="90"/>
        <v>38</v>
      </c>
      <c r="AI40" s="40">
        <f t="shared" si="90"/>
        <v>36</v>
      </c>
      <c r="AJ40" s="40">
        <f t="shared" si="90"/>
        <v>34</v>
      </c>
      <c r="AK40" s="40">
        <f t="shared" si="90"/>
        <v>32</v>
      </c>
      <c r="AL40" s="40">
        <f t="shared" si="90"/>
        <v>35</v>
      </c>
    </row>
    <row r="41" spans="1:49" x14ac:dyDescent="0.25">
      <c r="G41" s="40">
        <f t="shared" ref="G41:P41" si="91">SUM(G6,G13,G20,G27,G34)</f>
        <v>25</v>
      </c>
      <c r="H41" s="40">
        <f t="shared" si="91"/>
        <v>43</v>
      </c>
      <c r="I41" s="40">
        <f t="shared" si="91"/>
        <v>43</v>
      </c>
      <c r="J41" s="40">
        <f t="shared" si="91"/>
        <v>43</v>
      </c>
      <c r="K41" s="40">
        <f t="shared" si="91"/>
        <v>43</v>
      </c>
      <c r="L41" s="40">
        <f t="shared" si="91"/>
        <v>43</v>
      </c>
      <c r="M41" s="40">
        <f t="shared" si="91"/>
        <v>43</v>
      </c>
      <c r="N41" s="40">
        <f t="shared" si="91"/>
        <v>43</v>
      </c>
      <c r="O41" s="40">
        <f t="shared" si="91"/>
        <v>43</v>
      </c>
      <c r="P41" s="40">
        <f t="shared" si="91"/>
        <v>25</v>
      </c>
      <c r="AC41" s="40">
        <f t="shared" ref="AC41:AL41" si="92">SUM(AC6,AC13,AC20,AC27,AC34)</f>
        <v>42</v>
      </c>
      <c r="AD41" s="40">
        <f t="shared" si="92"/>
        <v>51</v>
      </c>
      <c r="AE41" s="40">
        <f t="shared" si="92"/>
        <v>49</v>
      </c>
      <c r="AF41" s="40">
        <f t="shared" si="92"/>
        <v>47</v>
      </c>
      <c r="AG41" s="40">
        <f t="shared" si="92"/>
        <v>45</v>
      </c>
      <c r="AH41" s="40">
        <f t="shared" si="92"/>
        <v>43</v>
      </c>
      <c r="AI41" s="40">
        <f t="shared" si="92"/>
        <v>41</v>
      </c>
      <c r="AJ41" s="40">
        <f t="shared" si="92"/>
        <v>39</v>
      </c>
      <c r="AK41" s="40">
        <f t="shared" si="92"/>
        <v>37</v>
      </c>
      <c r="AL41" s="40">
        <f t="shared" si="92"/>
        <v>37</v>
      </c>
    </row>
    <row r="42" spans="1:49" x14ac:dyDescent="0.25">
      <c r="A42" s="106"/>
      <c r="B42" s="106"/>
      <c r="C42" s="106"/>
      <c r="D42" s="106"/>
      <c r="G42" s="40">
        <f t="shared" ref="G42:P42" si="93">SUM(G7,G14,G21,G28,G35)</f>
        <v>27</v>
      </c>
      <c r="H42" s="40">
        <f t="shared" si="93"/>
        <v>42</v>
      </c>
      <c r="I42" s="40">
        <f t="shared" si="93"/>
        <v>42</v>
      </c>
      <c r="J42" s="40">
        <f t="shared" si="93"/>
        <v>42</v>
      </c>
      <c r="K42" s="40">
        <f t="shared" si="93"/>
        <v>42</v>
      </c>
      <c r="L42" s="40">
        <f t="shared" si="93"/>
        <v>42</v>
      </c>
      <c r="M42" s="40">
        <f t="shared" si="93"/>
        <v>42</v>
      </c>
      <c r="N42" s="40">
        <f t="shared" si="93"/>
        <v>42</v>
      </c>
      <c r="O42" s="40">
        <f t="shared" si="93"/>
        <v>42</v>
      </c>
      <c r="P42" s="40">
        <f t="shared" si="93"/>
        <v>22</v>
      </c>
      <c r="AC42" s="40">
        <f t="shared" ref="AC42:AL42" si="94">SUM(AC7,AC14,AC21,AC28,AC35)</f>
        <v>37</v>
      </c>
      <c r="AD42" s="40">
        <f t="shared" si="94"/>
        <v>56</v>
      </c>
      <c r="AE42" s="40">
        <f t="shared" si="94"/>
        <v>54</v>
      </c>
      <c r="AF42" s="40">
        <f t="shared" si="94"/>
        <v>52</v>
      </c>
      <c r="AG42" s="40">
        <f t="shared" si="94"/>
        <v>50</v>
      </c>
      <c r="AH42" s="40">
        <f t="shared" si="94"/>
        <v>48</v>
      </c>
      <c r="AI42" s="40">
        <f t="shared" si="94"/>
        <v>46</v>
      </c>
      <c r="AJ42" s="40">
        <f t="shared" si="94"/>
        <v>44</v>
      </c>
      <c r="AK42" s="40">
        <f t="shared" si="94"/>
        <v>42</v>
      </c>
      <c r="AL42" s="40">
        <f t="shared" si="94"/>
        <v>40</v>
      </c>
    </row>
    <row r="43" spans="1:49" x14ac:dyDescent="0.25">
      <c r="A43" s="41"/>
      <c r="B43" s="41"/>
      <c r="C43" s="41"/>
      <c r="G43" s="40">
        <f t="shared" ref="G43:P43" si="95">SUM(G8,G15,G22,G29,G36)</f>
        <v>30</v>
      </c>
      <c r="H43" s="40">
        <f t="shared" si="95"/>
        <v>30</v>
      </c>
      <c r="I43" s="40">
        <f t="shared" si="95"/>
        <v>29</v>
      </c>
      <c r="J43" s="40">
        <f t="shared" si="95"/>
        <v>28</v>
      </c>
      <c r="K43" s="40">
        <f t="shared" si="95"/>
        <v>27</v>
      </c>
      <c r="L43" s="40">
        <f t="shared" si="95"/>
        <v>26</v>
      </c>
      <c r="M43" s="40">
        <f t="shared" si="95"/>
        <v>25</v>
      </c>
      <c r="N43" s="40">
        <f t="shared" si="95"/>
        <v>24</v>
      </c>
      <c r="O43" s="40">
        <f t="shared" si="95"/>
        <v>23</v>
      </c>
      <c r="P43" s="40">
        <f t="shared" si="95"/>
        <v>22</v>
      </c>
      <c r="AC43" s="40">
        <f t="shared" ref="AC43:AL43" si="96">SUM(AC8,AC15,AC22,AC29,AC36)</f>
        <v>40</v>
      </c>
      <c r="AD43" s="40">
        <f t="shared" si="96"/>
        <v>40</v>
      </c>
      <c r="AE43" s="40">
        <f t="shared" si="96"/>
        <v>39</v>
      </c>
      <c r="AF43" s="40">
        <f t="shared" si="96"/>
        <v>38</v>
      </c>
      <c r="AG43" s="40">
        <f t="shared" si="96"/>
        <v>37</v>
      </c>
      <c r="AH43" s="40">
        <f t="shared" si="96"/>
        <v>36</v>
      </c>
      <c r="AI43" s="40">
        <f t="shared" si="96"/>
        <v>35</v>
      </c>
      <c r="AJ43" s="40">
        <f t="shared" si="96"/>
        <v>34</v>
      </c>
      <c r="AK43" s="40">
        <f t="shared" si="96"/>
        <v>33</v>
      </c>
      <c r="AL43" s="40">
        <f t="shared" si="96"/>
        <v>32</v>
      </c>
    </row>
    <row r="44" spans="1:49" x14ac:dyDescent="0.25">
      <c r="D44" s="41"/>
    </row>
  </sheetData>
  <protectedRanges>
    <protectedRange algorithmName="SHA-512" hashValue="IifMiaKCNApkSFItaWbIKEWxtFaQUjJZQPTth6Is5sSNMUDi1niOX4fxJi0RZ12CYQTshhG1nbPKsoDLv8nCEA==" saltValue="rURNSr0FaZ6VaaOaSsHPRA==" spinCount="100000" sqref="E31:E34" name="Mass_Used"/>
  </protectedRanges>
  <mergeCells count="66">
    <mergeCell ref="AC37:AE37"/>
    <mergeCell ref="AN16:AO16"/>
    <mergeCell ref="AN23:AO23"/>
    <mergeCell ref="AN30:AO30"/>
    <mergeCell ref="AN37:AO37"/>
    <mergeCell ref="R37:S37"/>
    <mergeCell ref="A34:D34"/>
    <mergeCell ref="R16:S16"/>
    <mergeCell ref="R23:S23"/>
    <mergeCell ref="R30:S30"/>
    <mergeCell ref="A18:E18"/>
    <mergeCell ref="A19:D19"/>
    <mergeCell ref="A20:D20"/>
    <mergeCell ref="A21:D21"/>
    <mergeCell ref="A22:D22"/>
    <mergeCell ref="A24:E24"/>
    <mergeCell ref="G16:I16"/>
    <mergeCell ref="G23:I23"/>
    <mergeCell ref="G30:I30"/>
    <mergeCell ref="G37:I37"/>
    <mergeCell ref="A12:E12"/>
    <mergeCell ref="A30:E30"/>
    <mergeCell ref="A31:D31"/>
    <mergeCell ref="A32:D32"/>
    <mergeCell ref="A33:D33"/>
    <mergeCell ref="A40:D40"/>
    <mergeCell ref="A36:E36"/>
    <mergeCell ref="A13:D13"/>
    <mergeCell ref="A14:D14"/>
    <mergeCell ref="A15:D15"/>
    <mergeCell ref="A16:D16"/>
    <mergeCell ref="A25:D25"/>
    <mergeCell ref="A26:D26"/>
    <mergeCell ref="A27:D27"/>
    <mergeCell ref="A28:D28"/>
    <mergeCell ref="AN10:AW10"/>
    <mergeCell ref="AN17:AW17"/>
    <mergeCell ref="AN24:AW24"/>
    <mergeCell ref="AN31:AW31"/>
    <mergeCell ref="G1:AA1"/>
    <mergeCell ref="AC1:AW1"/>
    <mergeCell ref="AN2:AW2"/>
    <mergeCell ref="R2:AA2"/>
    <mergeCell ref="AC2:AL2"/>
    <mergeCell ref="G2:P2"/>
    <mergeCell ref="G17:P17"/>
    <mergeCell ref="G24:P24"/>
    <mergeCell ref="AC16:AE16"/>
    <mergeCell ref="AC23:AE23"/>
    <mergeCell ref="AC30:AE30"/>
    <mergeCell ref="G38:P38"/>
    <mergeCell ref="AC38:AL38"/>
    <mergeCell ref="A42:D42"/>
    <mergeCell ref="R10:AA10"/>
    <mergeCell ref="A37:D37"/>
    <mergeCell ref="R17:AA17"/>
    <mergeCell ref="R24:AA24"/>
    <mergeCell ref="R31:AA31"/>
    <mergeCell ref="A38:D38"/>
    <mergeCell ref="A39:D39"/>
    <mergeCell ref="G31:P31"/>
    <mergeCell ref="AC10:AL10"/>
    <mergeCell ref="AC17:AL17"/>
    <mergeCell ref="AC24:AL24"/>
    <mergeCell ref="AC31:AL31"/>
    <mergeCell ref="G10:P1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73D8C-073E-4F5D-B099-75A4B7101D50}">
  <dimension ref="A1:BG44"/>
  <sheetViews>
    <sheetView tabSelected="1" topLeftCell="AF1" workbookViewId="0">
      <selection activeCell="AM3" sqref="AM1:BG1048576"/>
    </sheetView>
  </sheetViews>
  <sheetFormatPr defaultRowHeight="15" x14ac:dyDescent="0.25"/>
  <cols>
    <col min="5" max="5" width="30.7109375" customWidth="1"/>
    <col min="27" max="27" width="4.5703125" customWidth="1"/>
    <col min="28" max="35" width="9.5703125" bestFit="1" customWidth="1"/>
    <col min="36" max="36" width="10.5703125" bestFit="1" customWidth="1"/>
    <col min="37" max="37" width="9.28515625" bestFit="1" customWidth="1"/>
    <col min="38" max="38" width="3.5703125" customWidth="1"/>
    <col min="49" max="49" width="5" customWidth="1"/>
    <col min="50" max="59" width="9.5703125" bestFit="1" customWidth="1"/>
  </cols>
  <sheetData>
    <row r="1" spans="1:59" x14ac:dyDescent="0.25">
      <c r="A1" s="2" t="s">
        <v>4</v>
      </c>
      <c r="B1" s="2" t="s">
        <v>5</v>
      </c>
      <c r="C1" s="2" t="s">
        <v>6</v>
      </c>
      <c r="D1" s="2" t="s">
        <v>7</v>
      </c>
      <c r="E1" s="2" t="s">
        <v>54</v>
      </c>
      <c r="Q1" s="109" t="s">
        <v>77</v>
      </c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  <c r="AK1" s="109"/>
      <c r="AL1" t="s">
        <v>81</v>
      </c>
      <c r="AM1" s="110" t="s">
        <v>78</v>
      </c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0"/>
      <c r="BA1" s="110"/>
      <c r="BB1" s="110"/>
      <c r="BC1" s="110"/>
      <c r="BD1" s="110"/>
      <c r="BE1" s="110"/>
      <c r="BF1" s="110"/>
      <c r="BG1" s="110"/>
    </row>
    <row r="2" spans="1:59" x14ac:dyDescent="0.25">
      <c r="A2" s="26" t="s">
        <v>8</v>
      </c>
      <c r="B2" s="26" t="s">
        <v>17</v>
      </c>
      <c r="C2" s="26" t="s">
        <v>26</v>
      </c>
      <c r="D2" s="26" t="s">
        <v>35</v>
      </c>
      <c r="E2" s="26">
        <v>2</v>
      </c>
      <c r="G2" s="118" t="s">
        <v>289</v>
      </c>
      <c r="H2" s="119"/>
      <c r="I2" s="119"/>
      <c r="J2" s="119"/>
      <c r="K2" s="119"/>
      <c r="L2" s="119"/>
      <c r="M2" s="119"/>
      <c r="N2" s="119"/>
      <c r="O2" s="119"/>
      <c r="P2" s="120"/>
      <c r="Q2" s="118" t="s">
        <v>75</v>
      </c>
      <c r="R2" s="119"/>
      <c r="S2" s="119"/>
      <c r="T2" s="119"/>
      <c r="U2" s="119"/>
      <c r="V2" s="119"/>
      <c r="W2" s="119"/>
      <c r="X2" s="119"/>
      <c r="Y2" s="119"/>
      <c r="Z2" s="120"/>
      <c r="AB2" s="111" t="s">
        <v>83</v>
      </c>
      <c r="AC2" s="111"/>
      <c r="AD2" s="111"/>
      <c r="AE2" s="111"/>
      <c r="AF2" s="111"/>
      <c r="AG2" s="111"/>
      <c r="AH2" s="111"/>
      <c r="AI2" s="111"/>
      <c r="AJ2" s="111"/>
      <c r="AK2" s="111"/>
      <c r="AM2" s="111" t="s">
        <v>75</v>
      </c>
      <c r="AN2" s="111"/>
      <c r="AO2" s="111"/>
      <c r="AP2" s="111"/>
      <c r="AQ2" s="111"/>
      <c r="AR2" s="111"/>
      <c r="AS2" s="111"/>
      <c r="AT2" s="111"/>
      <c r="AU2" s="111"/>
      <c r="AV2" s="111"/>
      <c r="AX2" s="111" t="s">
        <v>83</v>
      </c>
      <c r="AY2" s="111"/>
      <c r="AZ2" s="111"/>
      <c r="BA2" s="111"/>
      <c r="BB2" s="111"/>
      <c r="BC2" s="111"/>
      <c r="BD2" s="111"/>
      <c r="BE2" s="111"/>
      <c r="BF2" s="111"/>
      <c r="BG2" s="111"/>
    </row>
    <row r="3" spans="1:59" x14ac:dyDescent="0.25">
      <c r="A3" s="26" t="s">
        <v>9</v>
      </c>
      <c r="B3" s="26" t="s">
        <v>18</v>
      </c>
      <c r="C3" s="39" t="s">
        <v>27</v>
      </c>
      <c r="D3" s="39" t="s">
        <v>36</v>
      </c>
      <c r="E3" s="26">
        <v>3</v>
      </c>
      <c r="G3" s="124" t="s">
        <v>290</v>
      </c>
      <c r="H3" s="124"/>
      <c r="I3" s="124"/>
      <c r="J3" s="124"/>
      <c r="K3" s="124"/>
      <c r="L3" s="124"/>
      <c r="M3" s="124"/>
      <c r="N3" s="124"/>
      <c r="O3" s="124"/>
      <c r="P3" s="124"/>
      <c r="Q3" s="28" t="s">
        <v>44</v>
      </c>
      <c r="R3" s="28" t="s">
        <v>45</v>
      </c>
      <c r="S3" s="28" t="s">
        <v>46</v>
      </c>
      <c r="T3" s="28" t="s">
        <v>47</v>
      </c>
      <c r="U3" s="28" t="s">
        <v>48</v>
      </c>
      <c r="V3" s="28" t="s">
        <v>49</v>
      </c>
      <c r="W3" s="28" t="s">
        <v>50</v>
      </c>
      <c r="X3" s="28" t="s">
        <v>51</v>
      </c>
      <c r="Y3" s="28" t="s">
        <v>52</v>
      </c>
      <c r="Z3" s="28" t="s">
        <v>53</v>
      </c>
      <c r="AB3" s="28" t="s">
        <v>44</v>
      </c>
      <c r="AC3" s="28" t="s">
        <v>45</v>
      </c>
      <c r="AD3" s="28" t="s">
        <v>46</v>
      </c>
      <c r="AE3" s="28" t="s">
        <v>47</v>
      </c>
      <c r="AF3" s="28" t="s">
        <v>48</v>
      </c>
      <c r="AG3" s="28" t="s">
        <v>49</v>
      </c>
      <c r="AH3" s="28" t="s">
        <v>50</v>
      </c>
      <c r="AI3" s="28" t="s">
        <v>51</v>
      </c>
      <c r="AJ3" s="28" t="s">
        <v>52</v>
      </c>
      <c r="AK3" s="28" t="s">
        <v>53</v>
      </c>
      <c r="AM3" s="28" t="s">
        <v>44</v>
      </c>
      <c r="AN3" s="28" t="s">
        <v>45</v>
      </c>
      <c r="AO3" s="28" t="s">
        <v>46</v>
      </c>
      <c r="AP3" s="28" t="s">
        <v>47</v>
      </c>
      <c r="AQ3" s="28" t="s">
        <v>48</v>
      </c>
      <c r="AR3" s="28" t="s">
        <v>49</v>
      </c>
      <c r="AS3" s="28" t="s">
        <v>50</v>
      </c>
      <c r="AT3" s="28" t="s">
        <v>51</v>
      </c>
      <c r="AU3" s="28" t="s">
        <v>52</v>
      </c>
      <c r="AV3" s="28" t="s">
        <v>53</v>
      </c>
      <c r="AX3" s="28" t="s">
        <v>44</v>
      </c>
      <c r="AY3" s="28" t="s">
        <v>45</v>
      </c>
      <c r="AZ3" s="28" t="s">
        <v>46</v>
      </c>
      <c r="BA3" s="28" t="s">
        <v>47</v>
      </c>
      <c r="BB3" s="28" t="s">
        <v>48</v>
      </c>
      <c r="BC3" s="28" t="s">
        <v>49</v>
      </c>
      <c r="BD3" s="28" t="s">
        <v>50</v>
      </c>
      <c r="BE3" s="28" t="s">
        <v>51</v>
      </c>
      <c r="BF3" s="28" t="s">
        <v>52</v>
      </c>
      <c r="BG3" s="28" t="s">
        <v>53</v>
      </c>
    </row>
    <row r="4" spans="1:59" x14ac:dyDescent="0.25">
      <c r="A4" s="26" t="s">
        <v>10</v>
      </c>
      <c r="B4" s="26" t="s">
        <v>19</v>
      </c>
      <c r="C4" s="39" t="s">
        <v>28</v>
      </c>
      <c r="D4" s="39" t="s">
        <v>37</v>
      </c>
      <c r="E4" s="26">
        <v>4</v>
      </c>
      <c r="G4" s="64" t="s">
        <v>125</v>
      </c>
      <c r="H4" s="64" t="s">
        <v>141</v>
      </c>
      <c r="I4" s="64" t="s">
        <v>157</v>
      </c>
      <c r="J4" s="64" t="s">
        <v>173</v>
      </c>
      <c r="K4" s="64" t="s">
        <v>189</v>
      </c>
      <c r="L4" s="64" t="s">
        <v>205</v>
      </c>
      <c r="M4" s="64" t="s">
        <v>221</v>
      </c>
      <c r="N4" s="64" t="s">
        <v>237</v>
      </c>
      <c r="O4" s="64" t="s">
        <v>253</v>
      </c>
      <c r="P4" s="64" t="s">
        <v>269</v>
      </c>
      <c r="Q4" s="40">
        <v>20</v>
      </c>
      <c r="R4" s="40">
        <v>20</v>
      </c>
      <c r="S4" s="40">
        <v>20</v>
      </c>
      <c r="T4" s="40">
        <v>20</v>
      </c>
      <c r="U4" s="40">
        <v>20</v>
      </c>
      <c r="V4" s="40">
        <v>20</v>
      </c>
      <c r="W4" s="40">
        <v>20</v>
      </c>
      <c r="X4" s="40">
        <v>20</v>
      </c>
      <c r="Y4" s="40">
        <v>20</v>
      </c>
      <c r="Z4" s="40">
        <v>20</v>
      </c>
      <c r="AB4" s="42">
        <f t="shared" ref="AB4:AK8" si="0">Q4/Q39</f>
        <v>0.90909090909090906</v>
      </c>
      <c r="AC4" s="42">
        <f t="shared" si="0"/>
        <v>0.86956521739130432</v>
      </c>
      <c r="AD4" s="42">
        <f t="shared" si="0"/>
        <v>0.83333333333333337</v>
      </c>
      <c r="AE4" s="42">
        <f t="shared" si="0"/>
        <v>0.8</v>
      </c>
      <c r="AF4" s="42">
        <f t="shared" si="0"/>
        <v>0.76923076923076927</v>
      </c>
      <c r="AG4" s="42">
        <f t="shared" si="0"/>
        <v>0.7407407407407407</v>
      </c>
      <c r="AH4" s="42">
        <f t="shared" si="0"/>
        <v>0.7142857142857143</v>
      </c>
      <c r="AI4" s="42">
        <f t="shared" si="0"/>
        <v>0.68965517241379315</v>
      </c>
      <c r="AJ4" s="42">
        <f t="shared" si="0"/>
        <v>0.66666666666666663</v>
      </c>
      <c r="AK4" s="42">
        <f t="shared" si="0"/>
        <v>0.66666666666666663</v>
      </c>
      <c r="AM4" s="84">
        <v>30</v>
      </c>
      <c r="AN4" s="84">
        <v>30</v>
      </c>
      <c r="AO4" s="84">
        <v>30</v>
      </c>
      <c r="AP4" s="84">
        <v>30</v>
      </c>
      <c r="AQ4" s="84">
        <v>30</v>
      </c>
      <c r="AR4" s="84">
        <v>30</v>
      </c>
      <c r="AS4" s="84">
        <v>30</v>
      </c>
      <c r="AT4" s="84">
        <v>30</v>
      </c>
      <c r="AU4" s="84">
        <v>30</v>
      </c>
      <c r="AV4" s="84">
        <v>30</v>
      </c>
      <c r="AX4" s="42">
        <f>AM4/AM39</f>
        <v>0.75</v>
      </c>
      <c r="AY4" s="42">
        <f t="shared" ref="AY4:BG8" si="1">AN4/AN39</f>
        <v>0.76923076923076927</v>
      </c>
      <c r="AZ4" s="42">
        <f t="shared" si="1"/>
        <v>0.78947368421052633</v>
      </c>
      <c r="BA4" s="42">
        <f t="shared" si="1"/>
        <v>0.81081081081081086</v>
      </c>
      <c r="BB4" s="42">
        <f t="shared" si="1"/>
        <v>0.83333333333333337</v>
      </c>
      <c r="BC4" s="42">
        <f t="shared" si="1"/>
        <v>0.8571428571428571</v>
      </c>
      <c r="BD4" s="42">
        <f t="shared" si="1"/>
        <v>0.88235294117647056</v>
      </c>
      <c r="BE4" s="42">
        <f t="shared" si="1"/>
        <v>0.90909090909090906</v>
      </c>
      <c r="BF4" s="42">
        <f t="shared" si="1"/>
        <v>0.9375</v>
      </c>
      <c r="BG4" s="42">
        <f t="shared" si="1"/>
        <v>0.9375</v>
      </c>
    </row>
    <row r="5" spans="1:59" x14ac:dyDescent="0.25">
      <c r="A5" s="26" t="s">
        <v>11</v>
      </c>
      <c r="B5" s="26" t="s">
        <v>20</v>
      </c>
      <c r="C5" s="26" t="s">
        <v>29</v>
      </c>
      <c r="D5" s="26" t="s">
        <v>38</v>
      </c>
      <c r="E5" s="26">
        <v>5</v>
      </c>
      <c r="G5" s="92">
        <v>14.20262361</v>
      </c>
      <c r="H5" s="92">
        <v>6.3707602330000004</v>
      </c>
      <c r="I5" s="92">
        <v>12.952698229999999</v>
      </c>
      <c r="J5" s="92">
        <v>20.186807290000001</v>
      </c>
      <c r="K5" s="92">
        <v>29.845761899999999</v>
      </c>
      <c r="L5" s="92">
        <v>11.744491010000001</v>
      </c>
      <c r="M5" s="92">
        <v>10.93502672</v>
      </c>
      <c r="N5" s="92">
        <v>40.569278910000001</v>
      </c>
      <c r="O5" s="92">
        <v>14.896404560000001</v>
      </c>
      <c r="P5" s="92">
        <v>17.8155185</v>
      </c>
      <c r="Q5" s="40">
        <v>20</v>
      </c>
      <c r="R5" s="40">
        <v>20</v>
      </c>
      <c r="S5" s="40">
        <v>20</v>
      </c>
      <c r="T5" s="40">
        <v>20</v>
      </c>
      <c r="U5" s="40">
        <v>20</v>
      </c>
      <c r="V5" s="40">
        <v>20</v>
      </c>
      <c r="W5" s="40">
        <v>20</v>
      </c>
      <c r="X5" s="40">
        <v>20</v>
      </c>
      <c r="Y5" s="40">
        <v>20</v>
      </c>
      <c r="Z5" s="40">
        <v>20</v>
      </c>
      <c r="AB5" s="42">
        <f t="shared" si="0"/>
        <v>0.90909090909090906</v>
      </c>
      <c r="AC5" s="42">
        <f t="shared" si="0"/>
        <v>0.47619047619047616</v>
      </c>
      <c r="AD5" s="42">
        <f t="shared" si="0"/>
        <v>0.47619047619047616</v>
      </c>
      <c r="AE5" s="42">
        <f t="shared" si="0"/>
        <v>0.47619047619047616</v>
      </c>
      <c r="AF5" s="42">
        <f t="shared" si="0"/>
        <v>0.47619047619047616</v>
      </c>
      <c r="AG5" s="42">
        <f t="shared" si="0"/>
        <v>0.47619047619047616</v>
      </c>
      <c r="AH5" s="42">
        <f t="shared" si="0"/>
        <v>0.47619047619047616</v>
      </c>
      <c r="AI5" s="42">
        <f t="shared" si="0"/>
        <v>0.47619047619047616</v>
      </c>
      <c r="AJ5" s="42">
        <f t="shared" si="0"/>
        <v>0.47619047619047616</v>
      </c>
      <c r="AK5" s="42">
        <f t="shared" si="0"/>
        <v>0.7407407407407407</v>
      </c>
      <c r="AM5" s="84">
        <v>30</v>
      </c>
      <c r="AN5" s="40">
        <v>20</v>
      </c>
      <c r="AO5" s="40">
        <v>20</v>
      </c>
      <c r="AP5" s="40">
        <v>20</v>
      </c>
      <c r="AQ5" s="40">
        <v>20</v>
      </c>
      <c r="AR5" s="40">
        <v>20</v>
      </c>
      <c r="AS5" s="40">
        <v>20</v>
      </c>
      <c r="AT5" s="40">
        <v>20</v>
      </c>
      <c r="AU5" s="40">
        <v>20</v>
      </c>
      <c r="AV5" s="84">
        <v>30</v>
      </c>
      <c r="AX5" s="42">
        <f t="shared" ref="AX5:AX8" si="2">AM5/AM40</f>
        <v>0.81081081081081086</v>
      </c>
      <c r="AY5" s="42">
        <f t="shared" si="1"/>
        <v>0.43478260869565216</v>
      </c>
      <c r="AZ5" s="42">
        <f t="shared" si="1"/>
        <v>0.45454545454545453</v>
      </c>
      <c r="BA5" s="42">
        <f t="shared" si="1"/>
        <v>0.47619047619047616</v>
      </c>
      <c r="BB5" s="42">
        <f t="shared" si="1"/>
        <v>0.5</v>
      </c>
      <c r="BC5" s="42">
        <f t="shared" si="1"/>
        <v>0.52631578947368418</v>
      </c>
      <c r="BD5" s="42">
        <f t="shared" si="1"/>
        <v>0.55555555555555558</v>
      </c>
      <c r="BE5" s="42">
        <f t="shared" si="1"/>
        <v>0.58823529411764708</v>
      </c>
      <c r="BF5" s="42">
        <f t="shared" si="1"/>
        <v>0.625</v>
      </c>
      <c r="BG5" s="42">
        <f t="shared" si="1"/>
        <v>0.8571428571428571</v>
      </c>
    </row>
    <row r="6" spans="1:59" x14ac:dyDescent="0.25">
      <c r="A6" s="26" t="s">
        <v>12</v>
      </c>
      <c r="B6" s="26" t="s">
        <v>21</v>
      </c>
      <c r="C6" s="39" t="s">
        <v>30</v>
      </c>
      <c r="D6" s="39" t="s">
        <v>39</v>
      </c>
      <c r="E6" s="26">
        <v>6</v>
      </c>
      <c r="G6" s="124" t="s">
        <v>291</v>
      </c>
      <c r="H6" s="124"/>
      <c r="I6" s="124"/>
      <c r="J6" s="124"/>
      <c r="K6" s="124"/>
      <c r="L6" s="124"/>
      <c r="M6" s="124"/>
      <c r="N6" s="124"/>
      <c r="O6" s="124"/>
      <c r="P6" s="124"/>
      <c r="Q6" s="40">
        <v>20</v>
      </c>
      <c r="R6" s="40">
        <v>20</v>
      </c>
      <c r="S6" s="40">
        <v>20</v>
      </c>
      <c r="T6" s="40">
        <v>20</v>
      </c>
      <c r="U6" s="40">
        <v>20</v>
      </c>
      <c r="V6" s="40">
        <v>20</v>
      </c>
      <c r="W6" s="40">
        <v>20</v>
      </c>
      <c r="X6" s="40">
        <v>20</v>
      </c>
      <c r="Y6" s="40">
        <v>20</v>
      </c>
      <c r="Z6" s="40">
        <v>20</v>
      </c>
      <c r="AB6" s="42">
        <f t="shared" si="0"/>
        <v>0.8</v>
      </c>
      <c r="AC6" s="42">
        <f t="shared" si="0"/>
        <v>0.46511627906976744</v>
      </c>
      <c r="AD6" s="42">
        <f t="shared" si="0"/>
        <v>0.46511627906976744</v>
      </c>
      <c r="AE6" s="42">
        <f t="shared" si="0"/>
        <v>0.46511627906976744</v>
      </c>
      <c r="AF6" s="42">
        <f t="shared" si="0"/>
        <v>0.46511627906976744</v>
      </c>
      <c r="AG6" s="42">
        <f t="shared" si="0"/>
        <v>0.46511627906976744</v>
      </c>
      <c r="AH6" s="42">
        <f t="shared" si="0"/>
        <v>0.46511627906976744</v>
      </c>
      <c r="AI6" s="42">
        <f t="shared" si="0"/>
        <v>0.46511627906976744</v>
      </c>
      <c r="AJ6" s="42">
        <f t="shared" si="0"/>
        <v>0.46511627906976744</v>
      </c>
      <c r="AK6" s="42">
        <f t="shared" si="0"/>
        <v>0.8</v>
      </c>
      <c r="AM6" s="84">
        <v>30</v>
      </c>
      <c r="AN6" s="40">
        <v>20</v>
      </c>
      <c r="AO6" s="40">
        <v>20</v>
      </c>
      <c r="AP6" s="40">
        <v>20</v>
      </c>
      <c r="AQ6" s="40">
        <v>20</v>
      </c>
      <c r="AR6" s="40">
        <v>20</v>
      </c>
      <c r="AS6" s="40">
        <v>20</v>
      </c>
      <c r="AT6" s="40">
        <v>20</v>
      </c>
      <c r="AU6" s="40">
        <v>20</v>
      </c>
      <c r="AV6" s="84">
        <v>30</v>
      </c>
      <c r="AX6" s="42">
        <f t="shared" si="2"/>
        <v>0.7142857142857143</v>
      </c>
      <c r="AY6" s="42">
        <f t="shared" si="1"/>
        <v>0.39215686274509803</v>
      </c>
      <c r="AZ6" s="42">
        <f t="shared" si="1"/>
        <v>0.40816326530612246</v>
      </c>
      <c r="BA6" s="42">
        <f t="shared" si="1"/>
        <v>0.42553191489361702</v>
      </c>
      <c r="BB6" s="42">
        <f t="shared" si="1"/>
        <v>0.44444444444444442</v>
      </c>
      <c r="BC6" s="42">
        <f t="shared" si="1"/>
        <v>0.46511627906976744</v>
      </c>
      <c r="BD6" s="42">
        <f t="shared" si="1"/>
        <v>0.48780487804878048</v>
      </c>
      <c r="BE6" s="42">
        <f t="shared" si="1"/>
        <v>0.51282051282051277</v>
      </c>
      <c r="BF6" s="42">
        <f t="shared" si="1"/>
        <v>0.54054054054054057</v>
      </c>
      <c r="BG6" s="42">
        <f t="shared" si="1"/>
        <v>0.81081081081081086</v>
      </c>
    </row>
    <row r="7" spans="1:59" x14ac:dyDescent="0.25">
      <c r="A7" s="26" t="s">
        <v>13</v>
      </c>
      <c r="B7" s="26" t="s">
        <v>22</v>
      </c>
      <c r="C7" s="26" t="s">
        <v>31</v>
      </c>
      <c r="D7" s="26" t="s">
        <v>40</v>
      </c>
      <c r="E7" s="26">
        <v>7</v>
      </c>
      <c r="G7" s="64" t="s">
        <v>125</v>
      </c>
      <c r="H7" s="64" t="s">
        <v>141</v>
      </c>
      <c r="I7" s="64" t="s">
        <v>157</v>
      </c>
      <c r="J7" s="64" t="s">
        <v>173</v>
      </c>
      <c r="K7" s="64" t="s">
        <v>189</v>
      </c>
      <c r="L7" s="64" t="s">
        <v>205</v>
      </c>
      <c r="M7" s="64" t="s">
        <v>221</v>
      </c>
      <c r="N7" s="64" t="s">
        <v>237</v>
      </c>
      <c r="O7" s="64" t="s">
        <v>253</v>
      </c>
      <c r="P7" s="64" t="s">
        <v>269</v>
      </c>
      <c r="Q7" s="40">
        <v>20</v>
      </c>
      <c r="R7" s="40">
        <v>20</v>
      </c>
      <c r="S7" s="40">
        <v>20</v>
      </c>
      <c r="T7" s="40">
        <v>20</v>
      </c>
      <c r="U7" s="40">
        <v>20</v>
      </c>
      <c r="V7" s="40">
        <v>20</v>
      </c>
      <c r="W7" s="40">
        <v>20</v>
      </c>
      <c r="X7" s="40">
        <v>20</v>
      </c>
      <c r="Y7" s="40">
        <v>20</v>
      </c>
      <c r="Z7" s="40">
        <v>20</v>
      </c>
      <c r="AB7" s="42">
        <f t="shared" si="0"/>
        <v>0.7407407407407407</v>
      </c>
      <c r="AC7" s="42">
        <f t="shared" si="0"/>
        <v>0.47619047619047616</v>
      </c>
      <c r="AD7" s="42">
        <f t="shared" si="0"/>
        <v>0.47619047619047616</v>
      </c>
      <c r="AE7" s="42">
        <f t="shared" si="0"/>
        <v>0.47619047619047616</v>
      </c>
      <c r="AF7" s="42">
        <f t="shared" si="0"/>
        <v>0.47619047619047616</v>
      </c>
      <c r="AG7" s="42">
        <f t="shared" si="0"/>
        <v>0.47619047619047616</v>
      </c>
      <c r="AH7" s="42">
        <f t="shared" si="0"/>
        <v>0.47619047619047616</v>
      </c>
      <c r="AI7" s="42">
        <f t="shared" si="0"/>
        <v>0.47619047619047616</v>
      </c>
      <c r="AJ7" s="42">
        <f t="shared" si="0"/>
        <v>0.47619047619047616</v>
      </c>
      <c r="AK7" s="42">
        <f t="shared" si="0"/>
        <v>0.90909090909090906</v>
      </c>
      <c r="AM7" s="84">
        <v>30</v>
      </c>
      <c r="AN7" s="40">
        <v>20</v>
      </c>
      <c r="AO7" s="40">
        <v>20</v>
      </c>
      <c r="AP7" s="40">
        <v>20</v>
      </c>
      <c r="AQ7" s="40">
        <v>20</v>
      </c>
      <c r="AR7" s="40">
        <v>20</v>
      </c>
      <c r="AS7" s="40">
        <v>20</v>
      </c>
      <c r="AT7" s="40">
        <v>20</v>
      </c>
      <c r="AU7" s="40">
        <v>20</v>
      </c>
      <c r="AV7" s="84">
        <v>30</v>
      </c>
      <c r="AX7" s="42">
        <f t="shared" si="2"/>
        <v>0.81081081081081086</v>
      </c>
      <c r="AY7" s="42">
        <f t="shared" si="1"/>
        <v>0.35714285714285715</v>
      </c>
      <c r="AZ7" s="42">
        <f t="shared" si="1"/>
        <v>0.37037037037037035</v>
      </c>
      <c r="BA7" s="42">
        <f t="shared" si="1"/>
        <v>0.38461538461538464</v>
      </c>
      <c r="BB7" s="42">
        <f t="shared" si="1"/>
        <v>0.4</v>
      </c>
      <c r="BC7" s="42">
        <f t="shared" si="1"/>
        <v>0.41666666666666669</v>
      </c>
      <c r="BD7" s="42">
        <f t="shared" si="1"/>
        <v>0.43478260869565216</v>
      </c>
      <c r="BE7" s="42">
        <f t="shared" si="1"/>
        <v>0.45454545454545453</v>
      </c>
      <c r="BF7" s="42">
        <f t="shared" si="1"/>
        <v>0.47619047619047616</v>
      </c>
      <c r="BG7" s="42">
        <f t="shared" si="1"/>
        <v>0.75</v>
      </c>
    </row>
    <row r="8" spans="1:59" x14ac:dyDescent="0.25">
      <c r="A8" s="26" t="s">
        <v>14</v>
      </c>
      <c r="B8" s="26" t="s">
        <v>23</v>
      </c>
      <c r="C8" s="39" t="s">
        <v>32</v>
      </c>
      <c r="D8" s="39" t="s">
        <v>41</v>
      </c>
      <c r="E8" s="26">
        <v>8</v>
      </c>
      <c r="G8" s="92">
        <v>26.809090000000001</v>
      </c>
      <c r="H8" s="92">
        <v>22.23011</v>
      </c>
      <c r="I8" s="92">
        <v>26.262180000000001</v>
      </c>
      <c r="J8" s="92">
        <v>21.82159</v>
      </c>
      <c r="K8" s="92">
        <v>48.107489999999999</v>
      </c>
      <c r="L8" s="92">
        <v>25.90916</v>
      </c>
      <c r="M8" s="92">
        <v>23.305199999999999</v>
      </c>
      <c r="N8" s="92">
        <v>21.715869999999999</v>
      </c>
      <c r="O8" s="92">
        <v>24.818930000000002</v>
      </c>
      <c r="P8" s="92">
        <v>21.919709999999998</v>
      </c>
      <c r="Q8" s="40">
        <v>20</v>
      </c>
      <c r="R8" s="40">
        <v>20</v>
      </c>
      <c r="S8" s="40">
        <v>20</v>
      </c>
      <c r="T8" s="40">
        <v>20</v>
      </c>
      <c r="U8" s="40">
        <v>20</v>
      </c>
      <c r="V8" s="40">
        <v>20</v>
      </c>
      <c r="W8" s="40">
        <v>20</v>
      </c>
      <c r="X8" s="40">
        <v>20</v>
      </c>
      <c r="Y8" s="40">
        <v>20</v>
      </c>
      <c r="Z8" s="40">
        <v>20</v>
      </c>
      <c r="AB8" s="42">
        <f t="shared" si="0"/>
        <v>0.66666666666666663</v>
      </c>
      <c r="AC8" s="42">
        <f t="shared" si="0"/>
        <v>0.66666666666666663</v>
      </c>
      <c r="AD8" s="42">
        <f t="shared" si="0"/>
        <v>0.68965517241379315</v>
      </c>
      <c r="AE8" s="42">
        <f t="shared" si="0"/>
        <v>0.7142857142857143</v>
      </c>
      <c r="AF8" s="42">
        <f t="shared" si="0"/>
        <v>0.7407407407407407</v>
      </c>
      <c r="AG8" s="42">
        <f t="shared" si="0"/>
        <v>0.76923076923076927</v>
      </c>
      <c r="AH8" s="42">
        <f t="shared" si="0"/>
        <v>0.8</v>
      </c>
      <c r="AI8" s="42">
        <f t="shared" si="0"/>
        <v>0.83333333333333337</v>
      </c>
      <c r="AJ8" s="42">
        <f t="shared" si="0"/>
        <v>0.86956521739130432</v>
      </c>
      <c r="AK8" s="42">
        <f t="shared" si="0"/>
        <v>0.90909090909090906</v>
      </c>
      <c r="AM8" s="84">
        <v>30</v>
      </c>
      <c r="AN8" s="84">
        <v>30</v>
      </c>
      <c r="AO8" s="84">
        <v>30</v>
      </c>
      <c r="AP8" s="84">
        <v>30</v>
      </c>
      <c r="AQ8" s="84">
        <v>30</v>
      </c>
      <c r="AR8" s="84">
        <v>30</v>
      </c>
      <c r="AS8" s="84">
        <v>30</v>
      </c>
      <c r="AT8" s="84">
        <v>30</v>
      </c>
      <c r="AU8" s="84">
        <v>30</v>
      </c>
      <c r="AV8" s="84">
        <v>30</v>
      </c>
      <c r="AX8" s="42">
        <f t="shared" si="2"/>
        <v>0.75</v>
      </c>
      <c r="AY8" s="42">
        <f t="shared" si="1"/>
        <v>0.75</v>
      </c>
      <c r="AZ8" s="42">
        <f t="shared" si="1"/>
        <v>0.76923076923076927</v>
      </c>
      <c r="BA8" s="42">
        <f t="shared" si="1"/>
        <v>0.78947368421052633</v>
      </c>
      <c r="BB8" s="42">
        <f t="shared" si="1"/>
        <v>0.81081081081081086</v>
      </c>
      <c r="BC8" s="42">
        <f t="shared" si="1"/>
        <v>0.83333333333333337</v>
      </c>
      <c r="BD8" s="42">
        <f t="shared" si="1"/>
        <v>0.8571428571428571</v>
      </c>
      <c r="BE8" s="42">
        <f t="shared" si="1"/>
        <v>0.88235294117647056</v>
      </c>
      <c r="BF8" s="42">
        <f t="shared" si="1"/>
        <v>0.90909090909090906</v>
      </c>
      <c r="BG8" s="42">
        <f t="shared" si="1"/>
        <v>0.9375</v>
      </c>
    </row>
    <row r="9" spans="1:59" x14ac:dyDescent="0.25">
      <c r="A9" s="26" t="s">
        <v>15</v>
      </c>
      <c r="B9" s="26" t="s">
        <v>24</v>
      </c>
      <c r="C9" s="39" t="s">
        <v>33</v>
      </c>
      <c r="D9" s="39" t="s">
        <v>42</v>
      </c>
      <c r="E9" s="26">
        <v>9</v>
      </c>
      <c r="G9" s="124" t="s">
        <v>312</v>
      </c>
      <c r="H9" s="124"/>
      <c r="I9" s="124"/>
      <c r="J9" s="124"/>
      <c r="K9" s="124"/>
      <c r="L9" s="124"/>
      <c r="M9" s="124"/>
      <c r="N9" s="124"/>
      <c r="O9" s="124"/>
      <c r="P9" s="124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59" x14ac:dyDescent="0.25">
      <c r="A10" s="26" t="s">
        <v>16</v>
      </c>
      <c r="B10" s="26" t="s">
        <v>25</v>
      </c>
      <c r="C10" s="38" t="s">
        <v>34</v>
      </c>
      <c r="D10" s="38" t="s">
        <v>43</v>
      </c>
      <c r="E10" s="26">
        <v>10</v>
      </c>
      <c r="G10" s="64" t="s">
        <v>125</v>
      </c>
      <c r="H10" s="64" t="s">
        <v>141</v>
      </c>
      <c r="I10" s="64" t="s">
        <v>157</v>
      </c>
      <c r="J10" s="64" t="s">
        <v>173</v>
      </c>
      <c r="K10" s="64" t="s">
        <v>189</v>
      </c>
      <c r="L10" s="64" t="s">
        <v>205</v>
      </c>
      <c r="M10" s="64" t="s">
        <v>221</v>
      </c>
      <c r="N10" s="64" t="s">
        <v>237</v>
      </c>
      <c r="O10" s="64" t="s">
        <v>253</v>
      </c>
      <c r="P10" s="64" t="s">
        <v>269</v>
      </c>
      <c r="Q10" s="118" t="s">
        <v>79</v>
      </c>
      <c r="R10" s="119"/>
      <c r="S10" s="119"/>
      <c r="T10" s="119"/>
      <c r="U10" s="119"/>
      <c r="V10" s="119"/>
      <c r="W10" s="119"/>
      <c r="X10" s="119"/>
      <c r="Y10" s="119"/>
      <c r="Z10" s="120"/>
      <c r="AA10" t="s">
        <v>81</v>
      </c>
      <c r="AB10" s="105" t="s">
        <v>82</v>
      </c>
      <c r="AC10" s="105"/>
      <c r="AD10" s="105"/>
      <c r="AE10" s="105"/>
      <c r="AF10" s="105"/>
      <c r="AG10" s="105"/>
      <c r="AH10" s="105"/>
      <c r="AI10" s="105"/>
      <c r="AJ10" s="105"/>
      <c r="AK10" s="105"/>
      <c r="AM10" s="105" t="s">
        <v>79</v>
      </c>
      <c r="AN10" s="105"/>
      <c r="AO10" s="105"/>
      <c r="AP10" s="105"/>
      <c r="AQ10" s="105"/>
      <c r="AR10" s="105"/>
      <c r="AS10" s="105"/>
      <c r="AT10" s="105"/>
      <c r="AU10" s="105"/>
      <c r="AV10" s="105"/>
      <c r="AX10" s="105" t="s">
        <v>82</v>
      </c>
      <c r="AY10" s="105"/>
      <c r="AZ10" s="105"/>
      <c r="BA10" s="105"/>
      <c r="BB10" s="105"/>
      <c r="BC10" s="105"/>
      <c r="BD10" s="105"/>
      <c r="BE10" s="105"/>
      <c r="BF10" s="105"/>
      <c r="BG10" s="105"/>
    </row>
    <row r="11" spans="1:59" x14ac:dyDescent="0.25">
      <c r="A11" s="1"/>
      <c r="B11" s="1"/>
      <c r="C11" s="45"/>
      <c r="D11" s="45"/>
      <c r="E11" s="1"/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14">
        <v>2</v>
      </c>
      <c r="R11" s="14">
        <v>3</v>
      </c>
      <c r="S11" s="14">
        <v>4</v>
      </c>
      <c r="T11" s="14">
        <v>5</v>
      </c>
      <c r="U11" s="14">
        <v>6</v>
      </c>
      <c r="V11" s="14">
        <v>7</v>
      </c>
      <c r="W11" s="14">
        <v>8</v>
      </c>
      <c r="X11" s="14">
        <v>9</v>
      </c>
      <c r="Y11" s="14">
        <v>10</v>
      </c>
      <c r="Z11" s="40">
        <v>0</v>
      </c>
      <c r="AB11" s="44">
        <f>((G$5*Q4)+(Q11*$E$37))/Q39</f>
        <v>40.449487262339467</v>
      </c>
      <c r="AC11" s="44">
        <f t="shared" ref="AC11:AK11" si="3">((H$5*R4)+(R11*$E$37))/R39</f>
        <v>45.050851131182711</v>
      </c>
      <c r="AD11" s="44">
        <f t="shared" si="3"/>
        <v>61.280269155955686</v>
      </c>
      <c r="AE11" s="44">
        <f t="shared" si="3"/>
        <v>76.733070589146834</v>
      </c>
      <c r="AF11" s="44">
        <f t="shared" si="3"/>
        <v>92.862460796707879</v>
      </c>
      <c r="AG11" s="44">
        <f t="shared" si="3"/>
        <v>87.233951359264395</v>
      </c>
      <c r="AH11" s="44">
        <f t="shared" si="3"/>
        <v>94.358768738781166</v>
      </c>
      <c r="AI11" s="44">
        <f t="shared" si="3"/>
        <v>121.98788594040025</v>
      </c>
      <c r="AJ11" s="44">
        <f>((O$5*Y4)+(Y11*$E$37))/Y39</f>
        <v>110.90364430191137</v>
      </c>
      <c r="AK11" s="89">
        <f t="shared" si="3"/>
        <v>11.877012333333333</v>
      </c>
      <c r="AM11" s="14">
        <v>10</v>
      </c>
      <c r="AN11" s="14">
        <v>9</v>
      </c>
      <c r="AO11" s="14">
        <v>8</v>
      </c>
      <c r="AP11" s="14">
        <v>7</v>
      </c>
      <c r="AQ11" s="14">
        <v>6</v>
      </c>
      <c r="AR11" s="14">
        <v>5</v>
      </c>
      <c r="AS11" s="14">
        <v>4</v>
      </c>
      <c r="AT11" s="14">
        <v>3</v>
      </c>
      <c r="AU11" s="14">
        <v>2</v>
      </c>
      <c r="AV11" s="40">
        <v>0</v>
      </c>
      <c r="AX11" s="44">
        <f>((G$5*AM4)+(AM11*$E$37))/AM39</f>
        <v>86.381498653933534</v>
      </c>
      <c r="AY11" s="44">
        <f t="shared" ref="AY11:BG11" si="4">((H$5*AN4)+(AN11*$E$37))/AN39</f>
        <v>74.804767206707865</v>
      </c>
      <c r="AZ11" s="44">
        <f t="shared" si="4"/>
        <v>73.998050978575606</v>
      </c>
      <c r="BA11" s="44">
        <f t="shared" si="4"/>
        <v>73.676515816219961</v>
      </c>
      <c r="BB11" s="44">
        <f t="shared" si="4"/>
        <v>75.357822214289016</v>
      </c>
      <c r="BC11" s="44">
        <f t="shared" si="4"/>
        <v>53.340724263676307</v>
      </c>
      <c r="BD11" s="44">
        <f t="shared" si="4"/>
        <v>45.285979315968717</v>
      </c>
      <c r="BE11" s="44">
        <f t="shared" si="4"/>
        <v>64.419173898703093</v>
      </c>
      <c r="BF11" s="44">
        <f t="shared" si="4"/>
        <v>32.897762011608378</v>
      </c>
      <c r="BG11" s="91">
        <f t="shared" si="4"/>
        <v>16.70204859375</v>
      </c>
    </row>
    <row r="12" spans="1:59" x14ac:dyDescent="0.25">
      <c r="A12" s="113" t="s">
        <v>101</v>
      </c>
      <c r="B12" s="113"/>
      <c r="C12" s="113"/>
      <c r="D12" s="113"/>
      <c r="E12" s="113"/>
      <c r="G12" s="124" t="s">
        <v>292</v>
      </c>
      <c r="H12" s="124"/>
      <c r="I12" s="124"/>
      <c r="J12" s="124"/>
      <c r="K12" s="124"/>
      <c r="L12" s="124"/>
      <c r="M12" s="124"/>
      <c r="N12" s="124"/>
      <c r="O12" s="124"/>
      <c r="P12" s="124"/>
      <c r="Q12" s="40">
        <v>0</v>
      </c>
      <c r="R12" s="90">
        <v>3</v>
      </c>
      <c r="S12" s="40">
        <v>4</v>
      </c>
      <c r="T12" s="40">
        <v>5</v>
      </c>
      <c r="U12" s="40">
        <v>6</v>
      </c>
      <c r="V12" s="40">
        <v>7</v>
      </c>
      <c r="W12" s="40">
        <v>8</v>
      </c>
      <c r="X12" s="40">
        <v>9</v>
      </c>
      <c r="Y12" s="40">
        <v>10</v>
      </c>
      <c r="Z12" s="40">
        <v>0</v>
      </c>
      <c r="AB12" s="89">
        <f t="shared" ref="AB12:AB15" si="5">((G$5*Q5)+(Q12*$E$37))/Q40</f>
        <v>12.91147600909091</v>
      </c>
      <c r="AC12" s="87">
        <f t="shared" ref="AC12:AC15" si="6">((H$5*R5)+(R12*$E$37))/R40</f>
        <v>24.670704190885772</v>
      </c>
      <c r="AD12" s="89">
        <f t="shared" ref="AD12:AD15" si="7">((I$5*S5)+(S12*$E$37))/S40</f>
        <v>35.017296660546108</v>
      </c>
      <c r="AE12" s="89">
        <f t="shared" ref="AE12:AE15" si="8">((J$5*T5)+(T12*$E$37))/T40</f>
        <v>45.674446779254062</v>
      </c>
      <c r="AF12" s="89">
        <f t="shared" ref="AF12:AF15" si="9">((K$5*U5)+(U12*$E$37))/U40</f>
        <v>57.486285255104882</v>
      </c>
      <c r="AG12" s="89">
        <f t="shared" ref="AG12:AG15" si="10">((L$5*V5)+(V12*$E$37))/V40</f>
        <v>56.07896873095568</v>
      </c>
      <c r="AH12" s="89">
        <f t="shared" ref="AH12:AH15" si="11">((M$5*W5)+(W12*$E$37))/W40</f>
        <v>62.905845825854115</v>
      </c>
      <c r="AI12" s="89">
        <f t="shared" ref="AI12:AI15" si="12">((N$5*X5)+(X12*$E$37))/X40</f>
        <v>84.229730768371596</v>
      </c>
      <c r="AJ12" s="89">
        <f t="shared" ref="AJ12:AJ15" si="13">((O$5*Y5)+(Y12*$E$37))/Y40</f>
        <v>79.216888787079554</v>
      </c>
      <c r="AK12" s="89">
        <f t="shared" ref="AK12:AK15" si="14">((P$5*Z5)+(Z12*$E$37))/Z40</f>
        <v>13.19668037037037</v>
      </c>
      <c r="AM12" s="40">
        <v>0</v>
      </c>
      <c r="AN12" s="90">
        <v>9</v>
      </c>
      <c r="AO12" s="40">
        <v>8</v>
      </c>
      <c r="AP12" s="40">
        <v>7</v>
      </c>
      <c r="AQ12" s="40">
        <v>6</v>
      </c>
      <c r="AR12" s="40">
        <v>5</v>
      </c>
      <c r="AS12" s="40">
        <v>4</v>
      </c>
      <c r="AT12" s="40">
        <v>3</v>
      </c>
      <c r="AU12" s="40">
        <v>2</v>
      </c>
      <c r="AV12" s="40">
        <v>0</v>
      </c>
      <c r="AX12" s="91">
        <f t="shared" ref="AX12:AX15" si="15">((G$5*AM5)+(AM12*$E$37))/AM40</f>
        <v>11.515640764864866</v>
      </c>
      <c r="AY12" s="87">
        <f t="shared" ref="AY12:AY15" si="16">((H$5*AN5)+(AN12*$E$37))/AN40</f>
        <v>62.036485189817547</v>
      </c>
      <c r="AZ12" s="91">
        <f t="shared" ref="AZ12:AZ15" si="17">((I$5*AO5)+(AO12*$E$37))/AO40</f>
        <v>60.963612611042556</v>
      </c>
      <c r="BA12" s="91">
        <f t="shared" ref="BA12:BA15" si="18">((J$5*AP5)+(AP12*$E$37))/AP40</f>
        <v>60.09911934047949</v>
      </c>
      <c r="BB12" s="91">
        <f t="shared" ref="BB12:BB15" si="19">((K$5*AQ5)+(AQ12*$E$37))/AQ40</f>
        <v>60.360599517860123</v>
      </c>
      <c r="BC12" s="91">
        <f t="shared" ref="BC12:BC15" si="20">((L$5*AR5)+(AR12*$E$37))/AR40</f>
        <v>46.038958924438703</v>
      </c>
      <c r="BD12" s="91">
        <f t="shared" ref="BD12:BD15" si="21">((M$5*AS5)+(AS12*$E$37))/AS40</f>
        <v>39.732584153970457</v>
      </c>
      <c r="BE12" s="91">
        <f t="shared" ref="BE12:BE15" si="22">((N$5*AT5)+(AT12*$E$37))/AT40</f>
        <v>50.592351457564774</v>
      </c>
      <c r="BF12" s="91">
        <f t="shared" ref="BF12:BF15" si="23">((O$5*AU5)+(AU12*$E$37))/AU40</f>
        <v>28.242635586608383</v>
      </c>
      <c r="BG12" s="91">
        <f t="shared" ref="BG12:BG15" si="24">((P$5*AV5)+(AV12*$E$37))/AV40</f>
        <v>15.270444428571428</v>
      </c>
    </row>
    <row r="13" spans="1:59" x14ac:dyDescent="0.25">
      <c r="A13" s="114" t="s">
        <v>90</v>
      </c>
      <c r="B13" s="114"/>
      <c r="C13" s="114"/>
      <c r="D13" s="114"/>
      <c r="E13" s="55">
        <f>SUM(Q11:Z15,AM11:AV15)*2</f>
        <v>792</v>
      </c>
      <c r="G13" s="64" t="s">
        <v>125</v>
      </c>
      <c r="H13" s="64" t="s">
        <v>141</v>
      </c>
      <c r="I13" s="64" t="s">
        <v>157</v>
      </c>
      <c r="J13" s="64" t="s">
        <v>173</v>
      </c>
      <c r="K13" s="64" t="s">
        <v>189</v>
      </c>
      <c r="L13" s="64" t="s">
        <v>205</v>
      </c>
      <c r="M13" s="64" t="s">
        <v>221</v>
      </c>
      <c r="N13" s="64" t="s">
        <v>237</v>
      </c>
      <c r="O13" s="64" t="s">
        <v>253</v>
      </c>
      <c r="P13" s="64" t="s">
        <v>269</v>
      </c>
      <c r="Q13" s="40">
        <v>0</v>
      </c>
      <c r="R13" s="40">
        <v>3</v>
      </c>
      <c r="S13" s="90">
        <v>4</v>
      </c>
      <c r="T13" s="40">
        <v>5</v>
      </c>
      <c r="U13" s="40">
        <v>6</v>
      </c>
      <c r="V13" s="40">
        <v>7</v>
      </c>
      <c r="W13" s="90">
        <v>8</v>
      </c>
      <c r="X13" s="40">
        <v>9</v>
      </c>
      <c r="Y13" s="40">
        <v>10</v>
      </c>
      <c r="Z13" s="40">
        <v>0</v>
      </c>
      <c r="AB13" s="89">
        <f t="shared" si="5"/>
        <v>11.362098888</v>
      </c>
      <c r="AC13" s="89">
        <f t="shared" si="6"/>
        <v>24.096966884120988</v>
      </c>
      <c r="AD13" s="87">
        <f t="shared" si="7"/>
        <v>34.202940924254335</v>
      </c>
      <c r="AE13" s="89">
        <f t="shared" si="8"/>
        <v>44.612250342527226</v>
      </c>
      <c r="AF13" s="89">
        <f t="shared" si="9"/>
        <v>56.149394900334997</v>
      </c>
      <c r="AG13" s="89">
        <f t="shared" si="10"/>
        <v>54.774806667445084</v>
      </c>
      <c r="AH13" s="87">
        <f t="shared" si="11"/>
        <v>61.442919178741228</v>
      </c>
      <c r="AI13" s="89">
        <f t="shared" si="12"/>
        <v>82.270899820269932</v>
      </c>
      <c r="AJ13" s="89">
        <f t="shared" si="13"/>
        <v>77.374635559473049</v>
      </c>
      <c r="AK13" s="89">
        <f t="shared" si="14"/>
        <v>14.252414799999999</v>
      </c>
      <c r="AM13" s="40">
        <v>0</v>
      </c>
      <c r="AN13" s="40">
        <v>9</v>
      </c>
      <c r="AO13" s="90">
        <v>8</v>
      </c>
      <c r="AP13" s="40">
        <v>7</v>
      </c>
      <c r="AQ13" s="40">
        <v>6</v>
      </c>
      <c r="AR13" s="40">
        <v>5</v>
      </c>
      <c r="AS13" s="90">
        <v>4</v>
      </c>
      <c r="AT13" s="40">
        <v>3</v>
      </c>
      <c r="AU13" s="40">
        <v>2</v>
      </c>
      <c r="AV13" s="40">
        <v>0</v>
      </c>
      <c r="AX13" s="91">
        <f t="shared" si="15"/>
        <v>10.14473115</v>
      </c>
      <c r="AY13" s="91">
        <f t="shared" si="16"/>
        <v>55.954476837874651</v>
      </c>
      <c r="AZ13" s="87">
        <f t="shared" si="17"/>
        <v>54.742835813997402</v>
      </c>
      <c r="BA13" s="91">
        <f t="shared" si="18"/>
        <v>53.705596006385932</v>
      </c>
      <c r="BB13" s="91">
        <f t="shared" si="19"/>
        <v>53.653866238097891</v>
      </c>
      <c r="BC13" s="91">
        <f t="shared" si="20"/>
        <v>40.685591607643502</v>
      </c>
      <c r="BD13" s="87">
        <f t="shared" si="21"/>
        <v>34.887147062022841</v>
      </c>
      <c r="BE13" s="91">
        <f t="shared" si="22"/>
        <v>44.106152552748775</v>
      </c>
      <c r="BF13" s="91">
        <f t="shared" si="23"/>
        <v>24.426063210039683</v>
      </c>
      <c r="BG13" s="91">
        <f t="shared" si="24"/>
        <v>14.445015</v>
      </c>
    </row>
    <row r="14" spans="1:59" x14ac:dyDescent="0.25">
      <c r="A14" s="114" t="s">
        <v>282</v>
      </c>
      <c r="B14" s="114"/>
      <c r="C14" s="114"/>
      <c r="D14" s="114"/>
      <c r="E14" s="55">
        <f>SUM(Q18:Z22,AM18:AV22)*2</f>
        <v>840</v>
      </c>
      <c r="G14" s="92">
        <v>6.0118167539999998</v>
      </c>
      <c r="H14" s="92">
        <v>2.938150051</v>
      </c>
      <c r="I14" s="92">
        <v>1.236363828</v>
      </c>
      <c r="J14" s="92">
        <v>-0.30952381000000001</v>
      </c>
      <c r="K14" s="92">
        <v>11.265374380000001</v>
      </c>
      <c r="L14" s="92">
        <v>3.6051870359999998</v>
      </c>
      <c r="M14" s="92">
        <v>3.789704307</v>
      </c>
      <c r="N14" s="92">
        <v>6.6497122360000001</v>
      </c>
      <c r="O14" s="92">
        <v>2.2290367710000001</v>
      </c>
      <c r="P14" s="92">
        <v>8.9468312450000003</v>
      </c>
      <c r="Q14" s="40">
        <v>0</v>
      </c>
      <c r="R14" s="40">
        <v>3</v>
      </c>
      <c r="S14" s="40">
        <v>4</v>
      </c>
      <c r="T14" s="90">
        <v>5</v>
      </c>
      <c r="U14" s="40">
        <v>6</v>
      </c>
      <c r="V14" s="90">
        <v>7</v>
      </c>
      <c r="W14" s="40">
        <v>8</v>
      </c>
      <c r="X14" s="40">
        <v>9</v>
      </c>
      <c r="Y14" s="40">
        <v>10</v>
      </c>
      <c r="Z14" s="40">
        <v>0</v>
      </c>
      <c r="AB14" s="89">
        <f t="shared" si="5"/>
        <v>10.520461933333333</v>
      </c>
      <c r="AC14" s="89">
        <f t="shared" si="6"/>
        <v>24.670704190885772</v>
      </c>
      <c r="AD14" s="89">
        <f t="shared" si="7"/>
        <v>35.017296660546108</v>
      </c>
      <c r="AE14" s="87">
        <f t="shared" si="8"/>
        <v>45.674446779254062</v>
      </c>
      <c r="AF14" s="89">
        <f t="shared" si="9"/>
        <v>57.486285255104882</v>
      </c>
      <c r="AG14" s="87">
        <f t="shared" si="10"/>
        <v>56.07896873095568</v>
      </c>
      <c r="AH14" s="89">
        <f t="shared" si="11"/>
        <v>62.905845825854115</v>
      </c>
      <c r="AI14" s="89">
        <f t="shared" si="12"/>
        <v>84.229730768371596</v>
      </c>
      <c r="AJ14" s="89">
        <f t="shared" si="13"/>
        <v>79.216888787079554</v>
      </c>
      <c r="AK14" s="89">
        <f t="shared" si="14"/>
        <v>16.195925909090906</v>
      </c>
      <c r="AM14" s="40">
        <v>0</v>
      </c>
      <c r="AN14" s="40">
        <v>9</v>
      </c>
      <c r="AO14" s="40">
        <v>8</v>
      </c>
      <c r="AP14" s="90">
        <v>7</v>
      </c>
      <c r="AQ14" s="40">
        <v>6</v>
      </c>
      <c r="AR14" s="90">
        <v>5</v>
      </c>
      <c r="AS14" s="40">
        <v>4</v>
      </c>
      <c r="AT14" s="40">
        <v>3</v>
      </c>
      <c r="AU14" s="40">
        <v>2</v>
      </c>
      <c r="AV14" s="40">
        <v>0</v>
      </c>
      <c r="AX14" s="91">
        <f t="shared" si="15"/>
        <v>11.515640764864866</v>
      </c>
      <c r="AY14" s="91">
        <f t="shared" si="16"/>
        <v>50.958541405921558</v>
      </c>
      <c r="AZ14" s="91">
        <f t="shared" si="17"/>
        <v>49.674054720108749</v>
      </c>
      <c r="BA14" s="87">
        <f t="shared" si="18"/>
        <v>48.541596390387284</v>
      </c>
      <c r="BB14" s="91">
        <f t="shared" si="19"/>
        <v>48.2884796142881</v>
      </c>
      <c r="BC14" s="87">
        <f t="shared" si="20"/>
        <v>36.447509148513973</v>
      </c>
      <c r="BD14" s="91">
        <f t="shared" si="21"/>
        <v>31.095065859629052</v>
      </c>
      <c r="BE14" s="91">
        <f t="shared" si="22"/>
        <v>39.094089762663685</v>
      </c>
      <c r="BF14" s="91">
        <f t="shared" si="23"/>
        <v>21.518198542177817</v>
      </c>
      <c r="BG14" s="91">
        <f t="shared" si="24"/>
        <v>13.361638875000001</v>
      </c>
    </row>
    <row r="15" spans="1:59" x14ac:dyDescent="0.25">
      <c r="A15" s="114" t="s">
        <v>91</v>
      </c>
      <c r="B15" s="114"/>
      <c r="C15" s="114"/>
      <c r="D15" s="114"/>
      <c r="E15" s="55">
        <f>SUM(Q25:Z29,AM25:AV29)*2</f>
        <v>544</v>
      </c>
      <c r="Q15" s="40">
        <v>0</v>
      </c>
      <c r="R15" s="40">
        <v>0</v>
      </c>
      <c r="S15" s="40">
        <v>0</v>
      </c>
      <c r="T15" s="40">
        <v>0</v>
      </c>
      <c r="U15" s="40">
        <v>0</v>
      </c>
      <c r="V15" s="40">
        <v>0</v>
      </c>
      <c r="W15" s="40">
        <v>0</v>
      </c>
      <c r="X15" s="40">
        <v>0</v>
      </c>
      <c r="Y15" s="40">
        <v>0</v>
      </c>
      <c r="Z15" s="40">
        <v>0</v>
      </c>
      <c r="AB15" s="89">
        <f t="shared" si="5"/>
        <v>9.4684157400000011</v>
      </c>
      <c r="AC15" s="89">
        <f t="shared" si="6"/>
        <v>4.2471734886666663</v>
      </c>
      <c r="AD15" s="89">
        <f t="shared" si="7"/>
        <v>8.9328953310344819</v>
      </c>
      <c r="AE15" s="89">
        <f t="shared" si="8"/>
        <v>14.419148064285716</v>
      </c>
      <c r="AF15" s="89">
        <f t="shared" si="9"/>
        <v>22.107971777777781</v>
      </c>
      <c r="AG15" s="89">
        <f t="shared" si="10"/>
        <v>9.0342238538461554</v>
      </c>
      <c r="AH15" s="89">
        <f t="shared" si="11"/>
        <v>8.7480213759999987</v>
      </c>
      <c r="AI15" s="89">
        <f t="shared" si="12"/>
        <v>33.807732425000005</v>
      </c>
      <c r="AJ15" s="89">
        <f t="shared" si="13"/>
        <v>12.953395269565219</v>
      </c>
      <c r="AK15" s="89">
        <f t="shared" si="14"/>
        <v>16.195925909090906</v>
      </c>
      <c r="AM15" s="40">
        <v>0</v>
      </c>
      <c r="AN15" s="40">
        <v>0</v>
      </c>
      <c r="AO15" s="40">
        <v>0</v>
      </c>
      <c r="AP15" s="40">
        <v>0</v>
      </c>
      <c r="AQ15" s="40">
        <v>0</v>
      </c>
      <c r="AR15" s="40">
        <v>0</v>
      </c>
      <c r="AS15" s="40">
        <v>0</v>
      </c>
      <c r="AT15" s="40">
        <v>0</v>
      </c>
      <c r="AU15" s="40">
        <v>0</v>
      </c>
      <c r="AV15" s="40">
        <v>0</v>
      </c>
      <c r="AX15" s="91">
        <f t="shared" si="15"/>
        <v>10.651967707500001</v>
      </c>
      <c r="AY15" s="91">
        <f t="shared" si="16"/>
        <v>4.7780701747500007</v>
      </c>
      <c r="AZ15" s="91">
        <f t="shared" si="17"/>
        <v>9.9636140230769215</v>
      </c>
      <c r="BA15" s="91">
        <f t="shared" si="18"/>
        <v>15.936953123684212</v>
      </c>
      <c r="BB15" s="91">
        <f t="shared" si="19"/>
        <v>24.199266405405403</v>
      </c>
      <c r="BC15" s="91">
        <f t="shared" si="20"/>
        <v>9.7870758416666686</v>
      </c>
      <c r="BD15" s="91">
        <f t="shared" si="21"/>
        <v>9.372880045714286</v>
      </c>
      <c r="BE15" s="91">
        <f t="shared" si="22"/>
        <v>35.796422567647063</v>
      </c>
      <c r="BF15" s="91">
        <f t="shared" si="23"/>
        <v>13.542185963636364</v>
      </c>
      <c r="BG15" s="91">
        <f t="shared" si="24"/>
        <v>16.70204859375</v>
      </c>
    </row>
    <row r="16" spans="1:59" x14ac:dyDescent="0.25">
      <c r="A16" s="114" t="s">
        <v>92</v>
      </c>
      <c r="B16" s="114"/>
      <c r="C16" s="114"/>
      <c r="D16" s="114"/>
      <c r="E16" s="55">
        <f>SUM(Q32:Z36,AM32:AV36)*2</f>
        <v>696</v>
      </c>
      <c r="Q16" s="121" t="s">
        <v>108</v>
      </c>
      <c r="R16" s="122"/>
      <c r="S16" s="123"/>
      <c r="T16" s="50">
        <f>SUM(Q11:Z15)</f>
        <v>210</v>
      </c>
      <c r="AB16" s="115" t="s">
        <v>97</v>
      </c>
      <c r="AC16" s="116"/>
      <c r="AD16" s="52">
        <f>SMALL(AB11:AK15,COUNTIF(AB11:AK15,0)+1)</f>
        <v>4.2471734886666663</v>
      </c>
      <c r="AE16" s="53" t="s">
        <v>98</v>
      </c>
      <c r="AF16" s="54">
        <f>MAX(AB11:AK15)</f>
        <v>121.98788594040025</v>
      </c>
      <c r="AM16" s="112" t="s">
        <v>108</v>
      </c>
      <c r="AN16" s="112"/>
      <c r="AO16" s="112"/>
      <c r="AP16" s="50">
        <f>SUM(AM11:AV15)</f>
        <v>186</v>
      </c>
      <c r="AX16" s="115" t="s">
        <v>97</v>
      </c>
      <c r="AY16" s="116"/>
      <c r="AZ16" s="52">
        <f>SMALL(AX11:BG15,COUNTIF(AX11:BG15,0)+1)</f>
        <v>4.7780701747500007</v>
      </c>
      <c r="BA16" s="53" t="s">
        <v>98</v>
      </c>
      <c r="BB16" s="54">
        <f>MAX(AX11:BG15)</f>
        <v>86.381498653933534</v>
      </c>
    </row>
    <row r="17" spans="1:59" x14ac:dyDescent="0.25">
      <c r="A17" s="1"/>
      <c r="B17" s="1"/>
      <c r="C17" s="1"/>
      <c r="D17" s="1"/>
      <c r="E17" s="1"/>
      <c r="Q17" s="118" t="s">
        <v>284</v>
      </c>
      <c r="R17" s="119"/>
      <c r="S17" s="119"/>
      <c r="T17" s="119"/>
      <c r="U17" s="119"/>
      <c r="V17" s="119"/>
      <c r="W17" s="119"/>
      <c r="X17" s="119"/>
      <c r="Y17" s="119"/>
      <c r="Z17" s="120"/>
      <c r="AB17" s="105" t="s">
        <v>285</v>
      </c>
      <c r="AC17" s="105"/>
      <c r="AD17" s="105"/>
      <c r="AE17" s="105"/>
      <c r="AF17" s="105"/>
      <c r="AG17" s="105"/>
      <c r="AH17" s="105"/>
      <c r="AI17" s="105"/>
      <c r="AJ17" s="105"/>
      <c r="AK17" s="105"/>
      <c r="AM17" s="105" t="s">
        <v>284</v>
      </c>
      <c r="AN17" s="105"/>
      <c r="AO17" s="105"/>
      <c r="AP17" s="105"/>
      <c r="AQ17" s="105"/>
      <c r="AR17" s="105"/>
      <c r="AS17" s="105"/>
      <c r="AT17" s="105"/>
      <c r="AU17" s="105"/>
      <c r="AV17" s="105"/>
      <c r="AX17" s="105" t="s">
        <v>285</v>
      </c>
      <c r="AY17" s="105"/>
      <c r="AZ17" s="108"/>
      <c r="BA17" s="108"/>
      <c r="BB17" s="108"/>
      <c r="BC17" s="105"/>
      <c r="BD17" s="105"/>
      <c r="BE17" s="105"/>
      <c r="BF17" s="105"/>
      <c r="BG17" s="105"/>
    </row>
    <row r="18" spans="1:59" x14ac:dyDescent="0.25">
      <c r="A18" s="113" t="s">
        <v>99</v>
      </c>
      <c r="B18" s="113"/>
      <c r="C18" s="113"/>
      <c r="D18" s="113"/>
      <c r="E18" s="113"/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0</v>
      </c>
      <c r="W18" s="40">
        <v>0</v>
      </c>
      <c r="X18" s="40">
        <v>0</v>
      </c>
      <c r="Y18" s="40">
        <v>0</v>
      </c>
      <c r="Z18" s="40">
        <v>0</v>
      </c>
      <c r="AB18" s="43">
        <f>((G$8*Q4)+(Q18*$E$38))/Q39</f>
        <v>24.371900000000004</v>
      </c>
      <c r="AC18" s="43">
        <f t="shared" ref="AC18:AK18" si="25">((H$8*R4)+(R18*$E$38))/R39</f>
        <v>19.330530434782609</v>
      </c>
      <c r="AD18" s="43">
        <f t="shared" si="25"/>
        <v>21.885149999999999</v>
      </c>
      <c r="AE18" s="43">
        <f t="shared" si="25"/>
        <v>17.457272</v>
      </c>
      <c r="AF18" s="43">
        <f t="shared" si="25"/>
        <v>37.005761538461535</v>
      </c>
      <c r="AG18" s="43">
        <f t="shared" si="25"/>
        <v>19.191970370370367</v>
      </c>
      <c r="AH18" s="43">
        <f t="shared" si="25"/>
        <v>16.646571428571427</v>
      </c>
      <c r="AI18" s="43">
        <f t="shared" si="25"/>
        <v>14.976462068965516</v>
      </c>
      <c r="AJ18" s="43">
        <f t="shared" si="25"/>
        <v>16.545953333333333</v>
      </c>
      <c r="AK18" s="43">
        <f t="shared" si="25"/>
        <v>14.613139999999998</v>
      </c>
      <c r="AM18" s="40">
        <v>0</v>
      </c>
      <c r="AN18" s="40">
        <v>0</v>
      </c>
      <c r="AO18" s="40">
        <v>0</v>
      </c>
      <c r="AP18" s="40">
        <v>0</v>
      </c>
      <c r="AQ18" s="40">
        <v>0</v>
      </c>
      <c r="AR18" s="40">
        <v>0</v>
      </c>
      <c r="AS18" s="40">
        <v>0</v>
      </c>
      <c r="AT18" s="40">
        <v>0</v>
      </c>
      <c r="AU18" s="40">
        <v>0</v>
      </c>
      <c r="AV18" s="40">
        <v>0</v>
      </c>
      <c r="AX18" s="43">
        <f>((G$8*AM4)+(AM18*$E$38))/AM39</f>
        <v>20.106817499999998</v>
      </c>
      <c r="AY18" s="43">
        <f t="shared" ref="AY18:BG18" si="26">((H$8*AN4)+(AN18*$E$38))/AN39</f>
        <v>17.100084615384613</v>
      </c>
      <c r="AZ18" s="43">
        <f t="shared" si="26"/>
        <v>20.7333</v>
      </c>
      <c r="BA18" s="43">
        <f t="shared" si="26"/>
        <v>17.693181081081082</v>
      </c>
      <c r="BB18" s="43">
        <f t="shared" si="26"/>
        <v>40.089574999999996</v>
      </c>
      <c r="BC18" s="43">
        <f t="shared" si="26"/>
        <v>22.207851428571431</v>
      </c>
      <c r="BD18" s="43">
        <f t="shared" si="26"/>
        <v>20.563411764705879</v>
      </c>
      <c r="BE18" s="43">
        <f t="shared" si="26"/>
        <v>19.741699999999998</v>
      </c>
      <c r="BF18" s="43">
        <f t="shared" si="26"/>
        <v>23.267746875</v>
      </c>
      <c r="BG18" s="43">
        <f t="shared" si="26"/>
        <v>20.549728124999998</v>
      </c>
    </row>
    <row r="19" spans="1:59" x14ac:dyDescent="0.25">
      <c r="A19" s="114" t="s">
        <v>90</v>
      </c>
      <c r="B19" s="114"/>
      <c r="C19" s="114"/>
      <c r="D19" s="114"/>
      <c r="E19" s="55">
        <f>CEILING(E13,1000)</f>
        <v>1000</v>
      </c>
      <c r="Q19" s="40">
        <v>0</v>
      </c>
      <c r="R19" s="90">
        <v>10</v>
      </c>
      <c r="S19" s="40">
        <v>9</v>
      </c>
      <c r="T19" s="40">
        <v>8</v>
      </c>
      <c r="U19" s="40">
        <v>7</v>
      </c>
      <c r="V19" s="40">
        <v>6</v>
      </c>
      <c r="W19" s="40">
        <v>5</v>
      </c>
      <c r="X19" s="40">
        <v>4</v>
      </c>
      <c r="Y19" s="40">
        <v>3</v>
      </c>
      <c r="Z19" s="40">
        <v>0</v>
      </c>
      <c r="AB19" s="43">
        <f t="shared" ref="AB19:AB22" si="27">((G$8*Q5)+(Q19*$E$38))/Q40</f>
        <v>24.371900000000004</v>
      </c>
      <c r="AC19" s="87">
        <f t="shared" ref="AC19:AC22" si="28">((H$8*R5)+(R19*$E$38))/R40</f>
        <v>72.866546644075854</v>
      </c>
      <c r="AD19" s="43">
        <f t="shared" ref="AD19:AD22" si="29">((I$8*S5)+(S19*$E$38))/S40</f>
        <v>68.558501979668279</v>
      </c>
      <c r="AE19" s="43">
        <f t="shared" ref="AE19:AE22" si="30">((J$8*T5)+(T19*$E$38))/T40</f>
        <v>60.215857315260685</v>
      </c>
      <c r="AF19" s="43">
        <f t="shared" ref="AF19:AF22" si="31">((K$8*U5)+(U19*$E$38))/U40</f>
        <v>66.50487455561499</v>
      </c>
      <c r="AG19" s="43">
        <f t="shared" ref="AG19:AG22" si="32">((L$8*V5)+(V19*$E$38))/V40</f>
        <v>49.706163224540759</v>
      </c>
      <c r="AH19" s="43">
        <f t="shared" ref="AH19:AH22" si="33">((M$8*W5)+(W19*$E$38))/W40</f>
        <v>42.238104274418887</v>
      </c>
      <c r="AI19" s="43">
        <f t="shared" ref="AI19:AI22" si="34">((N$8*X5)+(X19*$E$38))/X40</f>
        <v>35.253202467154154</v>
      </c>
      <c r="AJ19" s="43">
        <f t="shared" ref="AJ19:AJ22" si="35">((O$8*Y5)+(Y19*$E$38))/Y40</f>
        <v>30.502772088460851</v>
      </c>
      <c r="AK19" s="43">
        <f t="shared" ref="AK19:AK22" si="36">((P$8*Z5)+(Z19*$E$38))/Z40</f>
        <v>16.236822222222219</v>
      </c>
      <c r="AM19" s="40">
        <v>0</v>
      </c>
      <c r="AN19" s="90">
        <v>10</v>
      </c>
      <c r="AO19" s="40">
        <v>9</v>
      </c>
      <c r="AP19" s="40">
        <v>8</v>
      </c>
      <c r="AQ19" s="40">
        <v>7</v>
      </c>
      <c r="AR19" s="40">
        <v>6</v>
      </c>
      <c r="AS19" s="40">
        <v>5</v>
      </c>
      <c r="AT19" s="40">
        <v>4</v>
      </c>
      <c r="AU19" s="40">
        <v>3</v>
      </c>
      <c r="AV19" s="40">
        <v>0</v>
      </c>
      <c r="AX19" s="43">
        <f t="shared" ref="AX19:AX22" si="37">((G$8*AM5)+(AM19*$E$38))/AM40</f>
        <v>21.737099999999998</v>
      </c>
      <c r="AY19" s="87">
        <f t="shared" ref="AY19:AY22" si="38">((H$8*AN5)+(AN19*$E$38))/AN40</f>
        <v>66.53032519676492</v>
      </c>
      <c r="AZ19" s="43">
        <f t="shared" ref="AZ19:AZ22" si="39">((I$8*AO5)+(AO19*$E$38))/AO40</f>
        <v>65.442206435137905</v>
      </c>
      <c r="BA19" s="43">
        <f t="shared" ref="BA19:BA22" si="40">((J$8*AP5)+(AP19*$E$38))/AP40</f>
        <v>60.215857315260685</v>
      </c>
      <c r="BB19" s="43">
        <f t="shared" ref="BB19:BB22" si="41">((K$8*AQ5)+(AQ19*$E$38))/AQ40</f>
        <v>69.830118283395748</v>
      </c>
      <c r="BC19" s="43">
        <f t="shared" ref="BC19:BC22" si="42">((L$8*AR5)+(AR19*$E$38))/AR40</f>
        <v>54.938390932387151</v>
      </c>
      <c r="BD19" s="43">
        <f t="shared" ref="BD19:BD22" si="43">((M$8*AS5)+(AS19*$E$38))/AS40</f>
        <v>49.277788320155366</v>
      </c>
      <c r="BE19" s="43">
        <f t="shared" ref="BE19:BE22" si="44">((N$8*AT5)+(AT19*$E$38))/AT40</f>
        <v>43.548073635896301</v>
      </c>
      <c r="BF19" s="43">
        <f t="shared" ref="BF19:BF22" si="45">((O$8*AU5)+(AU19*$E$38))/AU40</f>
        <v>40.034888366104866</v>
      </c>
      <c r="BG19" s="43">
        <f t="shared" ref="BG19:BG22" si="46">((P$8*AV5)+(AV19*$E$38))/AV40</f>
        <v>18.788322857142855</v>
      </c>
    </row>
    <row r="20" spans="1:59" x14ac:dyDescent="0.25">
      <c r="A20" s="117" t="s">
        <v>282</v>
      </c>
      <c r="B20" s="117"/>
      <c r="C20" s="117"/>
      <c r="D20" s="117"/>
      <c r="E20" s="83">
        <f t="shared" ref="E20:E22" si="47">CEILING(E14,1000)</f>
        <v>1000</v>
      </c>
      <c r="Q20" s="40">
        <v>0</v>
      </c>
      <c r="R20" s="40">
        <v>10</v>
      </c>
      <c r="S20" s="90">
        <v>9</v>
      </c>
      <c r="T20" s="40">
        <v>8</v>
      </c>
      <c r="U20" s="40">
        <v>7</v>
      </c>
      <c r="V20" s="40">
        <v>6</v>
      </c>
      <c r="W20" s="90">
        <v>5</v>
      </c>
      <c r="X20" s="40">
        <v>4</v>
      </c>
      <c r="Y20" s="40">
        <v>3</v>
      </c>
      <c r="Z20" s="40">
        <v>0</v>
      </c>
      <c r="AB20" s="43">
        <f t="shared" si="27"/>
        <v>21.447272000000002</v>
      </c>
      <c r="AC20" s="43">
        <f t="shared" si="28"/>
        <v>71.171975791888045</v>
      </c>
      <c r="AD20" s="87">
        <f t="shared" si="29"/>
        <v>66.964118212699248</v>
      </c>
      <c r="AE20" s="43">
        <f t="shared" si="30"/>
        <v>58.815488540487181</v>
      </c>
      <c r="AF20" s="43">
        <f t="shared" si="31"/>
        <v>64.958249565949529</v>
      </c>
      <c r="AG20" s="43">
        <f t="shared" si="32"/>
        <v>48.550205940249114</v>
      </c>
      <c r="AH20" s="87">
        <f t="shared" si="33"/>
        <v>41.25582277966496</v>
      </c>
      <c r="AI20" s="43">
        <f t="shared" si="34"/>
        <v>34.433360549313356</v>
      </c>
      <c r="AJ20" s="43">
        <f t="shared" si="35"/>
        <v>29.793405295705949</v>
      </c>
      <c r="AK20" s="43">
        <f t="shared" si="36"/>
        <v>17.535767999999997</v>
      </c>
      <c r="AM20" s="40">
        <v>0</v>
      </c>
      <c r="AN20" s="40">
        <v>10</v>
      </c>
      <c r="AO20" s="90">
        <v>9</v>
      </c>
      <c r="AP20" s="40">
        <v>8</v>
      </c>
      <c r="AQ20" s="40">
        <v>7</v>
      </c>
      <c r="AR20" s="40">
        <v>6</v>
      </c>
      <c r="AS20" s="90">
        <v>5</v>
      </c>
      <c r="AT20" s="40">
        <v>4</v>
      </c>
      <c r="AU20" s="40">
        <v>3</v>
      </c>
      <c r="AV20" s="40">
        <v>0</v>
      </c>
      <c r="AX20" s="43">
        <f t="shared" si="37"/>
        <v>19.149349999999998</v>
      </c>
      <c r="AY20" s="43">
        <f t="shared" si="38"/>
        <v>60.007744295121299</v>
      </c>
      <c r="AZ20" s="87">
        <f t="shared" si="39"/>
        <v>58.7644302682871</v>
      </c>
      <c r="BA20" s="43">
        <f t="shared" si="40"/>
        <v>53.809915047679759</v>
      </c>
      <c r="BB20" s="43">
        <f t="shared" si="41"/>
        <v>62.07121625190733</v>
      </c>
      <c r="BC20" s="43">
        <f t="shared" si="42"/>
        <v>48.550205940249114</v>
      </c>
      <c r="BD20" s="87">
        <f t="shared" si="43"/>
        <v>43.268301939648616</v>
      </c>
      <c r="BE20" s="43">
        <f t="shared" si="44"/>
        <v>37.964987272319853</v>
      </c>
      <c r="BF20" s="43">
        <f t="shared" si="45"/>
        <v>34.624768316631233</v>
      </c>
      <c r="BG20" s="43">
        <f t="shared" si="46"/>
        <v>17.772737837837838</v>
      </c>
    </row>
    <row r="21" spans="1:59" x14ac:dyDescent="0.25">
      <c r="A21" s="114" t="s">
        <v>91</v>
      </c>
      <c r="B21" s="114"/>
      <c r="C21" s="114"/>
      <c r="D21" s="114"/>
      <c r="E21" s="55">
        <f t="shared" si="47"/>
        <v>1000</v>
      </c>
      <c r="Q21" s="40">
        <v>0</v>
      </c>
      <c r="R21" s="40">
        <v>10</v>
      </c>
      <c r="S21" s="40">
        <v>9</v>
      </c>
      <c r="T21" s="90">
        <v>8</v>
      </c>
      <c r="U21" s="40">
        <v>7</v>
      </c>
      <c r="V21" s="90">
        <v>6</v>
      </c>
      <c r="W21" s="40">
        <v>5</v>
      </c>
      <c r="X21" s="40">
        <v>4</v>
      </c>
      <c r="Y21" s="40">
        <v>3</v>
      </c>
      <c r="Z21" s="40">
        <v>0</v>
      </c>
      <c r="AB21" s="43">
        <f t="shared" si="27"/>
        <v>19.858585185185188</v>
      </c>
      <c r="AC21" s="43">
        <f t="shared" si="28"/>
        <v>72.866546644075854</v>
      </c>
      <c r="AD21" s="43">
        <f t="shared" si="29"/>
        <v>68.558501979668279</v>
      </c>
      <c r="AE21" s="87">
        <f t="shared" si="30"/>
        <v>60.215857315260685</v>
      </c>
      <c r="AF21" s="43">
        <f t="shared" si="31"/>
        <v>66.50487455561499</v>
      </c>
      <c r="AG21" s="87">
        <f t="shared" si="32"/>
        <v>49.706163224540759</v>
      </c>
      <c r="AH21" s="43">
        <f t="shared" si="33"/>
        <v>42.238104274418887</v>
      </c>
      <c r="AI21" s="43">
        <f t="shared" si="34"/>
        <v>35.253202467154154</v>
      </c>
      <c r="AJ21" s="43">
        <f t="shared" si="35"/>
        <v>30.502772088460851</v>
      </c>
      <c r="AK21" s="43">
        <f t="shared" si="36"/>
        <v>19.927009090909088</v>
      </c>
      <c r="AM21" s="40">
        <v>0</v>
      </c>
      <c r="AN21" s="40">
        <v>10</v>
      </c>
      <c r="AO21" s="40">
        <v>9</v>
      </c>
      <c r="AP21" s="90">
        <v>8</v>
      </c>
      <c r="AQ21" s="40">
        <v>7</v>
      </c>
      <c r="AR21" s="90">
        <v>6</v>
      </c>
      <c r="AS21" s="40">
        <v>5</v>
      </c>
      <c r="AT21" s="40">
        <v>4</v>
      </c>
      <c r="AU21" s="40">
        <v>3</v>
      </c>
      <c r="AV21" s="40">
        <v>0</v>
      </c>
      <c r="AX21" s="43">
        <f t="shared" si="37"/>
        <v>21.737099999999998</v>
      </c>
      <c r="AY21" s="43">
        <f t="shared" si="38"/>
        <v>54.649909983056894</v>
      </c>
      <c r="AZ21" s="43">
        <f t="shared" si="39"/>
        <v>53.323279317519777</v>
      </c>
      <c r="BA21" s="87">
        <f t="shared" si="40"/>
        <v>48.635884754633629</v>
      </c>
      <c r="BB21" s="43">
        <f t="shared" si="41"/>
        <v>55.864094626716593</v>
      </c>
      <c r="BC21" s="87">
        <f t="shared" si="42"/>
        <v>43.492892821473163</v>
      </c>
      <c r="BD21" s="43">
        <f t="shared" si="43"/>
        <v>38.565225641860721</v>
      </c>
      <c r="BE21" s="43">
        <f t="shared" si="44"/>
        <v>33.650784173192598</v>
      </c>
      <c r="BF21" s="43">
        <f t="shared" si="45"/>
        <v>30.502772088460851</v>
      </c>
      <c r="BG21" s="43">
        <f t="shared" si="46"/>
        <v>16.4397825</v>
      </c>
    </row>
    <row r="22" spans="1:59" x14ac:dyDescent="0.25">
      <c r="A22" s="114" t="s">
        <v>92</v>
      </c>
      <c r="B22" s="114"/>
      <c r="C22" s="114"/>
      <c r="D22" s="114"/>
      <c r="E22" s="55">
        <f t="shared" si="47"/>
        <v>1000</v>
      </c>
      <c r="Q22" s="40">
        <v>0</v>
      </c>
      <c r="R22" s="14">
        <v>10</v>
      </c>
      <c r="S22" s="14">
        <v>9</v>
      </c>
      <c r="T22" s="14">
        <v>8</v>
      </c>
      <c r="U22" s="14">
        <v>7</v>
      </c>
      <c r="V22" s="14">
        <v>6</v>
      </c>
      <c r="W22" s="14">
        <v>5</v>
      </c>
      <c r="X22" s="14">
        <v>4</v>
      </c>
      <c r="Y22" s="14">
        <v>3</v>
      </c>
      <c r="Z22" s="14">
        <v>2</v>
      </c>
      <c r="AB22" s="43">
        <f t="shared" si="27"/>
        <v>17.872726666666669</v>
      </c>
      <c r="AC22" s="44">
        <f t="shared" si="28"/>
        <v>102.01316530170621</v>
      </c>
      <c r="AD22" s="44">
        <f t="shared" si="29"/>
        <v>99.291623556760953</v>
      </c>
      <c r="AE22" s="44">
        <f t="shared" si="30"/>
        <v>90.323785972891031</v>
      </c>
      <c r="AF22" s="44">
        <f t="shared" si="31"/>
        <v>103.45202708651222</v>
      </c>
      <c r="AG22" s="44">
        <f t="shared" si="32"/>
        <v>80.29457136271968</v>
      </c>
      <c r="AH22" s="44">
        <f t="shared" si="33"/>
        <v>70.960015181023721</v>
      </c>
      <c r="AI22" s="44">
        <f t="shared" si="34"/>
        <v>61.693104317519762</v>
      </c>
      <c r="AJ22" s="44">
        <f t="shared" si="35"/>
        <v>55.700714248493725</v>
      </c>
      <c r="AK22" s="44">
        <f t="shared" si="36"/>
        <v>43.706943264101689</v>
      </c>
      <c r="AM22" s="40">
        <v>0</v>
      </c>
      <c r="AN22" s="14">
        <v>10</v>
      </c>
      <c r="AO22" s="14">
        <v>9</v>
      </c>
      <c r="AP22" s="14">
        <v>8</v>
      </c>
      <c r="AQ22" s="14">
        <v>7</v>
      </c>
      <c r="AR22" s="14">
        <v>6</v>
      </c>
      <c r="AS22" s="14">
        <v>5</v>
      </c>
      <c r="AT22" s="14">
        <v>4</v>
      </c>
      <c r="AU22" s="14">
        <v>3</v>
      </c>
      <c r="AV22" s="14">
        <v>2</v>
      </c>
      <c r="AX22" s="43">
        <f t="shared" si="37"/>
        <v>20.106817499999998</v>
      </c>
      <c r="AY22" s="44">
        <f t="shared" si="38"/>
        <v>82.067401476279656</v>
      </c>
      <c r="AZ22" s="44">
        <f t="shared" si="39"/>
        <v>80.56612520887353</v>
      </c>
      <c r="BA22" s="44">
        <f t="shared" si="40"/>
        <v>72.296892295814445</v>
      </c>
      <c r="BB22" s="44">
        <f t="shared" si="41"/>
        <v>88.494044090157573</v>
      </c>
      <c r="BC22" s="44">
        <f t="shared" si="42"/>
        <v>65.187512650853094</v>
      </c>
      <c r="BD22" s="44">
        <f t="shared" si="43"/>
        <v>57.344353700731233</v>
      </c>
      <c r="BE22" s="44">
        <f t="shared" si="44"/>
        <v>49.935094224131596</v>
      </c>
      <c r="BF22" s="44">
        <f t="shared" si="45"/>
        <v>46.342597809556231</v>
      </c>
      <c r="BG22" s="44">
        <f t="shared" si="46"/>
        <v>36.898432869069907</v>
      </c>
    </row>
    <row r="23" spans="1:59" x14ac:dyDescent="0.25">
      <c r="A23" s="1"/>
      <c r="B23" s="1"/>
      <c r="C23" s="45"/>
      <c r="D23" s="45"/>
      <c r="E23" s="1"/>
      <c r="Q23" s="121" t="s">
        <v>108</v>
      </c>
      <c r="R23" s="122"/>
      <c r="S23" s="123"/>
      <c r="T23" s="50">
        <f>SUM(Q18:Z22)</f>
        <v>210</v>
      </c>
      <c r="AB23" s="115" t="s">
        <v>97</v>
      </c>
      <c r="AC23" s="116"/>
      <c r="AD23" s="52">
        <f>SMALL(AB18:AK22,COUNTIF(AB18:AK22,0)+1)</f>
        <v>14.613139999999998</v>
      </c>
      <c r="AE23" s="53" t="s">
        <v>98</v>
      </c>
      <c r="AF23" s="54">
        <f>MAX(AB18:AK22)</f>
        <v>103.45202708651222</v>
      </c>
      <c r="AM23" s="112" t="s">
        <v>108</v>
      </c>
      <c r="AN23" s="112"/>
      <c r="AO23" s="112"/>
      <c r="AP23" s="50">
        <f>SUM(AM18:AV22)</f>
        <v>210</v>
      </c>
      <c r="AX23" s="115" t="s">
        <v>97</v>
      </c>
      <c r="AY23" s="116"/>
      <c r="AZ23" s="52">
        <f>SMALL(AX18:BG22,COUNTIF(AX18:BG22,0)+1)</f>
        <v>16.4397825</v>
      </c>
      <c r="BA23" s="53" t="s">
        <v>98</v>
      </c>
      <c r="BB23" s="54">
        <f>MAX(AX18:BG22)</f>
        <v>88.494044090157573</v>
      </c>
    </row>
    <row r="24" spans="1:59" x14ac:dyDescent="0.25">
      <c r="A24" s="113" t="s">
        <v>102</v>
      </c>
      <c r="B24" s="113"/>
      <c r="C24" s="113"/>
      <c r="D24" s="113"/>
      <c r="E24" s="113"/>
      <c r="Q24" s="118" t="s">
        <v>76</v>
      </c>
      <c r="R24" s="119"/>
      <c r="S24" s="119"/>
      <c r="T24" s="119"/>
      <c r="U24" s="119"/>
      <c r="V24" s="119"/>
      <c r="W24" s="119"/>
      <c r="X24" s="119"/>
      <c r="Y24" s="119"/>
      <c r="Z24" s="120"/>
      <c r="AB24" s="105" t="s">
        <v>88</v>
      </c>
      <c r="AC24" s="105"/>
      <c r="AD24" s="105"/>
      <c r="AE24" s="105"/>
      <c r="AF24" s="105"/>
      <c r="AG24" s="105"/>
      <c r="AH24" s="105"/>
      <c r="AI24" s="105"/>
      <c r="AJ24" s="105"/>
      <c r="AK24" s="105"/>
      <c r="AM24" s="105" t="s">
        <v>76</v>
      </c>
      <c r="AN24" s="105"/>
      <c r="AO24" s="105"/>
      <c r="AP24" s="105"/>
      <c r="AQ24" s="105"/>
      <c r="AR24" s="105"/>
      <c r="AS24" s="105"/>
      <c r="AT24" s="105"/>
      <c r="AU24" s="105"/>
      <c r="AV24" s="105"/>
      <c r="AX24" s="105" t="s">
        <v>88</v>
      </c>
      <c r="AY24" s="105"/>
      <c r="AZ24" s="105"/>
      <c r="BA24" s="105"/>
      <c r="BB24" s="105"/>
      <c r="BC24" s="105"/>
      <c r="BD24" s="105"/>
      <c r="BE24" s="105"/>
      <c r="BF24" s="105"/>
      <c r="BG24" s="105"/>
    </row>
    <row r="25" spans="1:59" x14ac:dyDescent="0.25">
      <c r="A25" s="114" t="s">
        <v>94</v>
      </c>
      <c r="B25" s="114"/>
      <c r="C25" s="114"/>
      <c r="D25" s="114"/>
      <c r="E25" s="55">
        <f xml:space="preserve"> (300/1000)*(E19/1000)*'Calibration Curves'!B13</f>
        <v>54.045000000000002</v>
      </c>
      <c r="Q25" s="40">
        <v>0</v>
      </c>
      <c r="R25" s="40">
        <v>0</v>
      </c>
      <c r="S25" s="40">
        <v>0</v>
      </c>
      <c r="T25" s="40">
        <v>0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B25" s="43">
        <f>((G$11*Q4)+(Q25*$E$39))/Q39</f>
        <v>0</v>
      </c>
      <c r="AC25" s="43">
        <f t="shared" ref="AC25:AK25" si="48">((H$11*R4)+(R25*$E$39))/R39</f>
        <v>0</v>
      </c>
      <c r="AD25" s="43">
        <f t="shared" si="48"/>
        <v>0</v>
      </c>
      <c r="AE25" s="43">
        <f t="shared" si="48"/>
        <v>0</v>
      </c>
      <c r="AF25" s="43">
        <f t="shared" si="48"/>
        <v>0</v>
      </c>
      <c r="AG25" s="43">
        <f t="shared" si="48"/>
        <v>0</v>
      </c>
      <c r="AH25" s="43">
        <f t="shared" si="48"/>
        <v>0</v>
      </c>
      <c r="AI25" s="43">
        <f t="shared" si="48"/>
        <v>0</v>
      </c>
      <c r="AJ25" s="43">
        <f t="shared" si="48"/>
        <v>0</v>
      </c>
      <c r="AK25" s="43">
        <f t="shared" si="48"/>
        <v>0</v>
      </c>
      <c r="AM25" s="40">
        <v>0</v>
      </c>
      <c r="AN25" s="40">
        <v>0</v>
      </c>
      <c r="AO25" s="40">
        <v>0</v>
      </c>
      <c r="AP25" s="40">
        <v>0</v>
      </c>
      <c r="AQ25" s="40">
        <v>0</v>
      </c>
      <c r="AR25" s="40">
        <v>0</v>
      </c>
      <c r="AS25" s="40">
        <v>0</v>
      </c>
      <c r="AT25" s="40">
        <v>0</v>
      </c>
      <c r="AU25" s="40">
        <v>0</v>
      </c>
      <c r="AV25" s="40">
        <v>0</v>
      </c>
      <c r="AX25" s="43">
        <f>((G$11*AM4)+(AM25*$E$37))/AM39</f>
        <v>0</v>
      </c>
      <c r="AY25" s="43">
        <f t="shared" ref="AY25:BG25" si="49">((H$11*AN4)+(AN25*$E$37))/AN39</f>
        <v>0</v>
      </c>
      <c r="AZ25" s="43">
        <f t="shared" si="49"/>
        <v>0</v>
      </c>
      <c r="BA25" s="43">
        <f t="shared" si="49"/>
        <v>0</v>
      </c>
      <c r="BB25" s="43">
        <f t="shared" si="49"/>
        <v>0</v>
      </c>
      <c r="BC25" s="43">
        <f t="shared" si="49"/>
        <v>0</v>
      </c>
      <c r="BD25" s="43">
        <f t="shared" si="49"/>
        <v>0</v>
      </c>
      <c r="BE25" s="43">
        <f t="shared" si="49"/>
        <v>0</v>
      </c>
      <c r="BF25" s="43">
        <f t="shared" si="49"/>
        <v>0</v>
      </c>
      <c r="BG25" s="43">
        <f t="shared" si="49"/>
        <v>0</v>
      </c>
    </row>
    <row r="26" spans="1:59" x14ac:dyDescent="0.25">
      <c r="A26" s="114" t="s">
        <v>283</v>
      </c>
      <c r="B26" s="114"/>
      <c r="C26" s="114"/>
      <c r="D26" s="114"/>
      <c r="E26" s="56">
        <f xml:space="preserve"> ((300/1000)*(E20/1000)*'Calibration Curves'!C13)</f>
        <v>26.433</v>
      </c>
      <c r="Q26" s="14">
        <v>2</v>
      </c>
      <c r="R26" s="90">
        <v>2</v>
      </c>
      <c r="S26" s="40">
        <v>2</v>
      </c>
      <c r="T26" s="40">
        <v>2</v>
      </c>
      <c r="U26" s="40">
        <v>2</v>
      </c>
      <c r="V26" s="40">
        <v>2</v>
      </c>
      <c r="W26" s="40">
        <v>2</v>
      </c>
      <c r="X26" s="40">
        <v>2</v>
      </c>
      <c r="Y26" s="40">
        <v>2</v>
      </c>
      <c r="Z26" s="40">
        <v>0</v>
      </c>
      <c r="AB26" s="44">
        <f t="shared" ref="AB26:AB29" si="50">((G$11*Q5)+(Q26*$E$39))/Q40</f>
        <v>13.179913866346347</v>
      </c>
      <c r="AC26" s="87">
        <f t="shared" ref="AC26:AC29" si="51">((H$11*R5)+(R26*$E$39))/R40</f>
        <v>6.9037644061814198</v>
      </c>
      <c r="AD26" s="43">
        <f t="shared" ref="AD26:AD29" si="52">((I$11*S5)+(S26*$E$39))/S40</f>
        <v>6.9037644061814198</v>
      </c>
      <c r="AE26" s="43">
        <f t="shared" ref="AE26:AE29" si="53">((J$11*T5)+(T26*$E$39))/T40</f>
        <v>6.9037644061814198</v>
      </c>
      <c r="AF26" s="43">
        <f t="shared" ref="AF26:AF29" si="54">((K$11*U5)+(U26*$E$39))/U40</f>
        <v>6.9037644061814198</v>
      </c>
      <c r="AG26" s="43">
        <f t="shared" ref="AG26:AG29" si="55">((L$11*V5)+(V26*$E$39))/V40</f>
        <v>6.9037644061814198</v>
      </c>
      <c r="AH26" s="43">
        <f t="shared" ref="AH26:AH29" si="56">((M$11*W5)+(W26*$E$39))/W40</f>
        <v>6.9037644061814198</v>
      </c>
      <c r="AI26" s="43">
        <f t="shared" ref="AI26:AI29" si="57">((N$11*X5)+(X26*$E$39))/X40</f>
        <v>6.9037644061814198</v>
      </c>
      <c r="AJ26" s="43">
        <f t="shared" ref="AJ26:AJ29" si="58">((O$11*Y5)+(Y26*$E$39))/Y40</f>
        <v>6.9037644061814198</v>
      </c>
      <c r="AK26" s="43">
        <f t="shared" ref="AK26:AK29" si="59">((P$11*Z5)+(Z26*$E$39))/Z40</f>
        <v>0</v>
      </c>
      <c r="AM26" s="14">
        <v>2</v>
      </c>
      <c r="AN26" s="90">
        <v>2</v>
      </c>
      <c r="AO26" s="40">
        <v>2</v>
      </c>
      <c r="AP26" s="40">
        <v>2</v>
      </c>
      <c r="AQ26" s="40">
        <v>2</v>
      </c>
      <c r="AR26" s="40">
        <v>2</v>
      </c>
      <c r="AS26" s="40">
        <v>2</v>
      </c>
      <c r="AT26" s="40">
        <v>2</v>
      </c>
      <c r="AU26" s="40">
        <v>2</v>
      </c>
      <c r="AV26" s="40">
        <v>0</v>
      </c>
      <c r="AX26" s="44">
        <f t="shared" ref="AX26:AX28" si="60">((G$11*AM5)+(AM26*$E$37))/AM40</f>
        <v>16.373952637066708</v>
      </c>
      <c r="AY26" s="87">
        <f t="shared" ref="AY26:AY29" si="61">((H$11*AN5)+(AN26*$E$37))/AN40</f>
        <v>13.170353208075396</v>
      </c>
      <c r="AZ26" s="43">
        <f t="shared" ref="AZ26:AZ29" si="62">((I$11*AO5)+(AO26*$E$37))/AO40</f>
        <v>13.769005626624278</v>
      </c>
      <c r="BA26" s="43">
        <f t="shared" ref="BA26:BA29" si="63">((J$11*AP5)+(AP26*$E$37))/AP40</f>
        <v>14.424672561225433</v>
      </c>
      <c r="BB26" s="43">
        <f t="shared" ref="BB26:BB29" si="64">((K$11*AQ5)+(AQ26*$E$37))/AQ40</f>
        <v>15.145906189286706</v>
      </c>
      <c r="BC26" s="43">
        <f t="shared" ref="BC26:BC29" si="65">((L$11*AR5)+(AR26*$E$37))/AR40</f>
        <v>15.943059146617585</v>
      </c>
      <c r="BD26" s="43">
        <f t="shared" ref="BD26:BD29" si="66">((M$11*AS5)+(AS26*$E$37))/AS40</f>
        <v>16.828784654763005</v>
      </c>
      <c r="BE26" s="43">
        <f t="shared" ref="BE26:BE29" si="67">((N$11*AT5)+(AT26*$E$37))/AT40</f>
        <v>17.818713163866711</v>
      </c>
      <c r="BF26" s="43">
        <f t="shared" ref="BF26:BF29" si="68">((O$11*AU5)+(AU26*$E$37))/AU40</f>
        <v>18.932382736608382</v>
      </c>
      <c r="BG26" s="43">
        <f t="shared" ref="BG26:BG29" si="69">((P$11*AV5)+(AV26*$E$37))/AV40</f>
        <v>0</v>
      </c>
    </row>
    <row r="27" spans="1:59" x14ac:dyDescent="0.25">
      <c r="A27" s="114" t="s">
        <v>93</v>
      </c>
      <c r="B27" s="114"/>
      <c r="C27" s="114"/>
      <c r="D27" s="114"/>
      <c r="E27" s="56">
        <f xml:space="preserve"> (200/1000)*(E21/1000)*'Calibration Curves'!D13</f>
        <v>31.03</v>
      </c>
      <c r="Q27" s="14">
        <v>5</v>
      </c>
      <c r="R27" s="40">
        <v>5</v>
      </c>
      <c r="S27" s="90">
        <v>5</v>
      </c>
      <c r="T27" s="40">
        <v>5</v>
      </c>
      <c r="U27" s="40">
        <v>5</v>
      </c>
      <c r="V27" s="40">
        <v>5</v>
      </c>
      <c r="W27" s="90">
        <v>5</v>
      </c>
      <c r="X27" s="40">
        <v>5</v>
      </c>
      <c r="Y27" s="40">
        <v>5</v>
      </c>
      <c r="Z27" s="40">
        <v>0</v>
      </c>
      <c r="AB27" s="44">
        <f t="shared" si="50"/>
        <v>28.995810505961963</v>
      </c>
      <c r="AC27" s="43">
        <f t="shared" si="51"/>
        <v>16.858029363931372</v>
      </c>
      <c r="AD27" s="87">
        <f t="shared" si="52"/>
        <v>16.858029363931372</v>
      </c>
      <c r="AE27" s="43">
        <f t="shared" si="53"/>
        <v>16.858029363931372</v>
      </c>
      <c r="AF27" s="43">
        <f t="shared" si="54"/>
        <v>16.858029363931372</v>
      </c>
      <c r="AG27" s="43">
        <f t="shared" si="55"/>
        <v>16.858029363931372</v>
      </c>
      <c r="AH27" s="87">
        <f t="shared" si="56"/>
        <v>16.858029363931372</v>
      </c>
      <c r="AI27" s="43">
        <f t="shared" si="57"/>
        <v>16.858029363931372</v>
      </c>
      <c r="AJ27" s="43">
        <f t="shared" si="58"/>
        <v>16.858029363931372</v>
      </c>
      <c r="AK27" s="43">
        <f t="shared" si="59"/>
        <v>0</v>
      </c>
      <c r="AM27" s="14">
        <v>5</v>
      </c>
      <c r="AN27" s="40">
        <v>5</v>
      </c>
      <c r="AO27" s="90">
        <v>5</v>
      </c>
      <c r="AP27" s="40">
        <v>5</v>
      </c>
      <c r="AQ27" s="40">
        <v>5</v>
      </c>
      <c r="AR27" s="40">
        <v>5</v>
      </c>
      <c r="AS27" s="90">
        <v>5</v>
      </c>
      <c r="AT27" s="40">
        <v>5</v>
      </c>
      <c r="AU27" s="40">
        <v>5</v>
      </c>
      <c r="AV27" s="40">
        <v>0</v>
      </c>
      <c r="AX27" s="44">
        <f t="shared" si="60"/>
        <v>36.061681403063588</v>
      </c>
      <c r="AY27" s="43">
        <f t="shared" si="61"/>
        <v>29.697855273111191</v>
      </c>
      <c r="AZ27" s="87">
        <f t="shared" si="62"/>
        <v>30.910012631197361</v>
      </c>
      <c r="BA27" s="43">
        <f t="shared" si="63"/>
        <v>32.225332317631292</v>
      </c>
      <c r="BB27" s="43">
        <f t="shared" si="64"/>
        <v>33.657569309526018</v>
      </c>
      <c r="BC27" s="43">
        <f t="shared" si="65"/>
        <v>35.223037649503972</v>
      </c>
      <c r="BD27" s="87">
        <f t="shared" si="66"/>
        <v>36.941234608016359</v>
      </c>
      <c r="BE27" s="43">
        <f t="shared" si="67"/>
        <v>38.835656895606938</v>
      </c>
      <c r="BF27" s="43">
        <f t="shared" si="68"/>
        <v>40.934881592666777</v>
      </c>
      <c r="BG27" s="43">
        <f t="shared" si="69"/>
        <v>0</v>
      </c>
    </row>
    <row r="28" spans="1:59" x14ac:dyDescent="0.25">
      <c r="A28" s="114" t="s">
        <v>95</v>
      </c>
      <c r="B28" s="114"/>
      <c r="C28" s="114"/>
      <c r="D28" s="114"/>
      <c r="E28" s="56">
        <f xml:space="preserve"> (300/1000)*(E22/1000)*'Calibration Curves'!E13</f>
        <v>22.520999999999997</v>
      </c>
      <c r="Q28" s="14">
        <v>7</v>
      </c>
      <c r="R28" s="40">
        <v>7</v>
      </c>
      <c r="S28" s="40">
        <v>7</v>
      </c>
      <c r="T28" s="90">
        <v>7</v>
      </c>
      <c r="U28" s="40">
        <v>7</v>
      </c>
      <c r="V28" s="90">
        <v>7</v>
      </c>
      <c r="W28" s="40">
        <v>7</v>
      </c>
      <c r="X28" s="40">
        <v>7</v>
      </c>
      <c r="Y28" s="40">
        <v>7</v>
      </c>
      <c r="Z28" s="40">
        <v>0</v>
      </c>
      <c r="AB28" s="44">
        <f t="shared" si="50"/>
        <v>37.587161766987734</v>
      </c>
      <c r="AC28" s="43">
        <f t="shared" si="51"/>
        <v>24.163175421634971</v>
      </c>
      <c r="AD28" s="43">
        <f t="shared" si="52"/>
        <v>24.163175421634971</v>
      </c>
      <c r="AE28" s="87">
        <f t="shared" si="53"/>
        <v>24.163175421634971</v>
      </c>
      <c r="AF28" s="43">
        <f t="shared" si="54"/>
        <v>24.163175421634971</v>
      </c>
      <c r="AG28" s="87">
        <f t="shared" si="55"/>
        <v>24.163175421634971</v>
      </c>
      <c r="AH28" s="43">
        <f t="shared" si="56"/>
        <v>24.163175421634971</v>
      </c>
      <c r="AI28" s="43">
        <f t="shared" si="57"/>
        <v>24.163175421634971</v>
      </c>
      <c r="AJ28" s="43">
        <f t="shared" si="58"/>
        <v>24.163175421634971</v>
      </c>
      <c r="AK28" s="43">
        <f t="shared" si="59"/>
        <v>0</v>
      </c>
      <c r="AM28" s="14">
        <v>7</v>
      </c>
      <c r="AN28" s="40">
        <v>7</v>
      </c>
      <c r="AO28" s="40">
        <v>7</v>
      </c>
      <c r="AP28" s="90">
        <v>7</v>
      </c>
      <c r="AQ28" s="40">
        <v>7</v>
      </c>
      <c r="AR28" s="90">
        <v>7</v>
      </c>
      <c r="AS28" s="40">
        <v>7</v>
      </c>
      <c r="AT28" s="40">
        <v>7</v>
      </c>
      <c r="AU28" s="40">
        <v>7</v>
      </c>
      <c r="AV28" s="40">
        <v>0</v>
      </c>
      <c r="AX28" s="44">
        <f t="shared" si="60"/>
        <v>57.308834229733478</v>
      </c>
      <c r="AY28" s="43">
        <f t="shared" si="61"/>
        <v>37.864765473216764</v>
      </c>
      <c r="AZ28" s="43">
        <f t="shared" si="62"/>
        <v>39.267164194447012</v>
      </c>
      <c r="BA28" s="87">
        <f t="shared" si="63"/>
        <v>40.77743974038728</v>
      </c>
      <c r="BB28" s="43">
        <f t="shared" si="64"/>
        <v>42.408537330002773</v>
      </c>
      <c r="BC28" s="87">
        <f t="shared" si="65"/>
        <v>44.175559718752886</v>
      </c>
      <c r="BD28" s="43">
        <f t="shared" si="66"/>
        <v>46.096236228263884</v>
      </c>
      <c r="BE28" s="43">
        <f t="shared" si="67"/>
        <v>48.191519693184972</v>
      </c>
      <c r="BF28" s="43">
        <f t="shared" si="68"/>
        <v>50.486353964289016</v>
      </c>
      <c r="BG28" s="43">
        <f t="shared" si="69"/>
        <v>0</v>
      </c>
    </row>
    <row r="29" spans="1:59" x14ac:dyDescent="0.25">
      <c r="A29" s="1"/>
      <c r="B29" s="1"/>
      <c r="C29" s="45"/>
      <c r="D29" s="45"/>
      <c r="E29" s="1"/>
      <c r="Q29" s="14">
        <v>10</v>
      </c>
      <c r="R29" s="40">
        <v>0</v>
      </c>
      <c r="S29" s="40">
        <v>0</v>
      </c>
      <c r="T29" s="40">
        <v>0</v>
      </c>
      <c r="U29" s="40">
        <v>0</v>
      </c>
      <c r="V29" s="40">
        <v>0</v>
      </c>
      <c r="W29" s="40">
        <v>0</v>
      </c>
      <c r="X29" s="40">
        <v>0</v>
      </c>
      <c r="Y29" s="40">
        <v>0</v>
      </c>
      <c r="Z29" s="40">
        <v>0</v>
      </c>
      <c r="AB29" s="44">
        <f t="shared" si="50"/>
        <v>48.326350843269935</v>
      </c>
      <c r="AC29" s="43">
        <f t="shared" si="51"/>
        <v>0</v>
      </c>
      <c r="AD29" s="43">
        <f t="shared" si="52"/>
        <v>0</v>
      </c>
      <c r="AE29" s="43">
        <f t="shared" si="53"/>
        <v>0</v>
      </c>
      <c r="AF29" s="43">
        <f t="shared" si="54"/>
        <v>0</v>
      </c>
      <c r="AG29" s="43">
        <f t="shared" si="55"/>
        <v>0</v>
      </c>
      <c r="AH29" s="43">
        <f t="shared" si="56"/>
        <v>0</v>
      </c>
      <c r="AI29" s="43">
        <f t="shared" si="57"/>
        <v>0</v>
      </c>
      <c r="AJ29" s="43">
        <f t="shared" si="58"/>
        <v>0</v>
      </c>
      <c r="AK29" s="43">
        <f t="shared" si="59"/>
        <v>0</v>
      </c>
      <c r="AM29" s="14">
        <v>10</v>
      </c>
      <c r="AN29" s="40">
        <v>0</v>
      </c>
      <c r="AO29" s="40">
        <v>0</v>
      </c>
      <c r="AP29" s="40">
        <v>0</v>
      </c>
      <c r="AQ29" s="40">
        <v>0</v>
      </c>
      <c r="AR29" s="40">
        <v>0</v>
      </c>
      <c r="AS29" s="40">
        <v>0</v>
      </c>
      <c r="AT29" s="40">
        <v>0</v>
      </c>
      <c r="AU29" s="40">
        <v>0</v>
      </c>
      <c r="AV29" s="40">
        <v>0</v>
      </c>
      <c r="AX29" s="44">
        <f>((G$11*AM8)+(AM29*$E$37))/AM43</f>
        <v>75.729530946433528</v>
      </c>
      <c r="AY29" s="43">
        <f t="shared" si="61"/>
        <v>0</v>
      </c>
      <c r="AZ29" s="43">
        <f t="shared" si="62"/>
        <v>0</v>
      </c>
      <c r="BA29" s="43">
        <f t="shared" si="63"/>
        <v>0</v>
      </c>
      <c r="BB29" s="43">
        <f t="shared" si="64"/>
        <v>0</v>
      </c>
      <c r="BC29" s="43">
        <f t="shared" si="65"/>
        <v>0</v>
      </c>
      <c r="BD29" s="43">
        <f t="shared" si="66"/>
        <v>0</v>
      </c>
      <c r="BE29" s="43">
        <f t="shared" si="67"/>
        <v>0</v>
      </c>
      <c r="BF29" s="43">
        <f t="shared" si="68"/>
        <v>0</v>
      </c>
      <c r="BG29" s="43">
        <f t="shared" si="69"/>
        <v>0</v>
      </c>
    </row>
    <row r="30" spans="1:59" x14ac:dyDescent="0.25">
      <c r="A30" s="113" t="s">
        <v>286</v>
      </c>
      <c r="B30" s="113"/>
      <c r="C30" s="113"/>
      <c r="D30" s="113"/>
      <c r="E30" s="113"/>
      <c r="Q30" s="121" t="s">
        <v>108</v>
      </c>
      <c r="R30" s="122"/>
      <c r="S30" s="123"/>
      <c r="T30" s="50">
        <f>SUM(Q25:Z29)</f>
        <v>136</v>
      </c>
      <c r="AB30" s="115" t="s">
        <v>97</v>
      </c>
      <c r="AC30" s="116"/>
      <c r="AD30" s="52">
        <f>SMALL(AB25:AK29,COUNTIF(AB25:AK29,0)+1)</f>
        <v>6.9037644061814198</v>
      </c>
      <c r="AE30" s="53" t="s">
        <v>98</v>
      </c>
      <c r="AF30" s="54">
        <f>MAX(AB25:AK29)</f>
        <v>48.326350843269935</v>
      </c>
      <c r="AM30" s="112" t="s">
        <v>108</v>
      </c>
      <c r="AN30" s="112"/>
      <c r="AO30" s="112"/>
      <c r="AP30" s="50">
        <f>SUM(AM25:AV29)</f>
        <v>136</v>
      </c>
      <c r="AX30" s="115" t="s">
        <v>97</v>
      </c>
      <c r="AY30" s="116"/>
      <c r="AZ30" s="52">
        <f>SMALL(AX25:BG29,COUNTIF(AX25:BG29,0)+1)</f>
        <v>13.170353208075396</v>
      </c>
      <c r="BA30" s="53" t="s">
        <v>98</v>
      </c>
      <c r="BB30" s="54">
        <f>MAX(AX25:BG29)</f>
        <v>75.729530946433528</v>
      </c>
    </row>
    <row r="31" spans="1:59" x14ac:dyDescent="0.25">
      <c r="A31" s="114" t="s">
        <v>94</v>
      </c>
      <c r="B31" s="114"/>
      <c r="C31" s="114"/>
      <c r="D31" s="114"/>
      <c r="E31" s="57">
        <v>54.570700000000002</v>
      </c>
      <c r="Q31" s="118" t="s">
        <v>80</v>
      </c>
      <c r="R31" s="119"/>
      <c r="S31" s="119"/>
      <c r="T31" s="119"/>
      <c r="U31" s="119"/>
      <c r="V31" s="119"/>
      <c r="W31" s="119"/>
      <c r="X31" s="119"/>
      <c r="Y31" s="119"/>
      <c r="Z31" s="120"/>
      <c r="AB31" s="105" t="s">
        <v>89</v>
      </c>
      <c r="AC31" s="105"/>
      <c r="AD31" s="105"/>
      <c r="AE31" s="105"/>
      <c r="AF31" s="105"/>
      <c r="AG31" s="105"/>
      <c r="AH31" s="105"/>
      <c r="AI31" s="105"/>
      <c r="AJ31" s="105"/>
      <c r="AK31" s="105"/>
      <c r="AM31" s="105" t="s">
        <v>80</v>
      </c>
      <c r="AN31" s="105"/>
      <c r="AO31" s="105"/>
      <c r="AP31" s="105"/>
      <c r="AQ31" s="105"/>
      <c r="AR31" s="105"/>
      <c r="AS31" s="105"/>
      <c r="AT31" s="105"/>
      <c r="AU31" s="105"/>
      <c r="AV31" s="105"/>
      <c r="AX31" s="105" t="s">
        <v>89</v>
      </c>
      <c r="AY31" s="105"/>
      <c r="AZ31" s="105"/>
      <c r="BA31" s="105"/>
      <c r="BB31" s="105"/>
      <c r="BC31" s="105"/>
      <c r="BD31" s="105"/>
      <c r="BE31" s="105"/>
      <c r="BF31" s="105"/>
      <c r="BG31" s="105"/>
    </row>
    <row r="32" spans="1:59" x14ac:dyDescent="0.25">
      <c r="A32" s="114" t="s">
        <v>283</v>
      </c>
      <c r="B32" s="114"/>
      <c r="C32" s="114"/>
      <c r="D32" s="114"/>
      <c r="E32" s="57">
        <f>6.9223+6.6506+6.8692+6.6729</f>
        <v>27.115000000000002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14">
        <v>10</v>
      </c>
      <c r="AB32" s="43">
        <f>((G$14*Q4)+(Q32*$E$40))/Q39</f>
        <v>5.4652879581818183</v>
      </c>
      <c r="AC32" s="43">
        <f t="shared" ref="AC32:AK32" si="70">((H$14*R4)+(R32*$E$40))/R39</f>
        <v>2.5549130878260873</v>
      </c>
      <c r="AD32" s="43">
        <f t="shared" si="70"/>
        <v>1.0303031899999999</v>
      </c>
      <c r="AE32" s="43">
        <f t="shared" si="70"/>
        <v>-0.24761904800000001</v>
      </c>
      <c r="AF32" s="43">
        <f t="shared" si="70"/>
        <v>8.6656726000000006</v>
      </c>
      <c r="AG32" s="43">
        <f t="shared" si="70"/>
        <v>2.6705089155555553</v>
      </c>
      <c r="AH32" s="43">
        <f t="shared" si="70"/>
        <v>2.706931647857143</v>
      </c>
      <c r="AI32" s="43">
        <f t="shared" si="70"/>
        <v>4.5860084386206896</v>
      </c>
      <c r="AJ32" s="43">
        <f t="shared" si="70"/>
        <v>1.4860245140000001</v>
      </c>
      <c r="AK32" s="44">
        <f t="shared" si="70"/>
        <v>106.02583030560056</v>
      </c>
      <c r="AM32" s="40">
        <v>0</v>
      </c>
      <c r="AN32" s="40">
        <v>0</v>
      </c>
      <c r="AO32" s="40">
        <v>0</v>
      </c>
      <c r="AP32" s="40">
        <v>0</v>
      </c>
      <c r="AQ32" s="40">
        <v>0</v>
      </c>
      <c r="AR32" s="40">
        <v>0</v>
      </c>
      <c r="AS32" s="40">
        <v>0</v>
      </c>
      <c r="AT32" s="40">
        <v>0</v>
      </c>
      <c r="AU32" s="40">
        <v>0</v>
      </c>
      <c r="AV32" s="14">
        <v>2</v>
      </c>
      <c r="AX32" s="43">
        <f>((G14*AM4)+(AM32*$E$37))/AM39</f>
        <v>4.5088625655000003</v>
      </c>
      <c r="AY32" s="43">
        <f t="shared" ref="AY32:BG32" si="71">((H14*AN4)+(AN32*$E$37))/AN39</f>
        <v>2.260115423846154</v>
      </c>
      <c r="AZ32" s="43">
        <f t="shared" si="71"/>
        <v>0.97607670631578936</v>
      </c>
      <c r="BA32" s="43">
        <f t="shared" si="71"/>
        <v>-0.25096525135135134</v>
      </c>
      <c r="BB32" s="43">
        <f t="shared" si="71"/>
        <v>9.387811983333334</v>
      </c>
      <c r="BC32" s="43">
        <f t="shared" si="71"/>
        <v>3.0901603165714286</v>
      </c>
      <c r="BD32" s="43">
        <f t="shared" si="71"/>
        <v>3.3438567414705882</v>
      </c>
      <c r="BE32" s="43">
        <f t="shared" si="71"/>
        <v>6.0451929418181818</v>
      </c>
      <c r="BF32" s="43">
        <f t="shared" si="71"/>
        <v>2.0897219728125003</v>
      </c>
      <c r="BG32" s="44">
        <f t="shared" si="71"/>
        <v>27.32003702879588</v>
      </c>
    </row>
    <row r="33" spans="1:59" x14ac:dyDescent="0.25">
      <c r="A33" s="114" t="s">
        <v>93</v>
      </c>
      <c r="B33" s="114"/>
      <c r="C33" s="114"/>
      <c r="D33" s="114"/>
      <c r="E33" s="57">
        <f>15.0894+7.4041</f>
        <v>22.493499999999997</v>
      </c>
      <c r="Q33" s="40">
        <v>0</v>
      </c>
      <c r="R33" s="90">
        <v>7</v>
      </c>
      <c r="S33" s="40">
        <v>7</v>
      </c>
      <c r="T33" s="40">
        <v>7</v>
      </c>
      <c r="U33" s="40">
        <v>7</v>
      </c>
      <c r="V33" s="40">
        <v>7</v>
      </c>
      <c r="W33" s="40">
        <v>7</v>
      </c>
      <c r="X33" s="40">
        <v>7</v>
      </c>
      <c r="Y33" s="40">
        <v>7</v>
      </c>
      <c r="Z33" s="14">
        <v>7</v>
      </c>
      <c r="AB33" s="43">
        <f t="shared" ref="AB33:AB36" si="72">((G$14*Q5)+(Q33*$E$40))/Q40</f>
        <v>5.4652879581818183</v>
      </c>
      <c r="AC33" s="87">
        <f t="shared" ref="AC33:AC36" si="73">((H$14*R5)+(R33*$E$40))/R40</f>
        <v>51.429757143038387</v>
      </c>
      <c r="AD33" s="43">
        <f t="shared" ref="AD33:AD36" si="74">((I$14*S5)+(S33*$E$40))/S40</f>
        <v>50.619382751133628</v>
      </c>
      <c r="AE33" s="43">
        <f t="shared" ref="AE33:AE36" si="75">((J$14*T5)+(T33*$E$40))/T40</f>
        <v>49.883245780657433</v>
      </c>
      <c r="AF33" s="43">
        <f t="shared" ref="AF33:AF36" si="76">((K$14*U5)+(U33*$E$40))/U40</f>
        <v>55.395102061609819</v>
      </c>
      <c r="AG33" s="43">
        <f t="shared" ref="AG33:AG36" si="77">((L$14*V5)+(V33*$E$40))/V40</f>
        <v>51.7473938025622</v>
      </c>
      <c r="AH33" s="43">
        <f t="shared" ref="AH33:AH36" si="78">((M$14*W5)+(W33*$E$40))/W40</f>
        <v>51.835259169705054</v>
      </c>
      <c r="AI33" s="43">
        <f t="shared" ref="AI33:AI36" si="79">((N$14*X5)+(X33*$E$40))/X40</f>
        <v>53.197167707324105</v>
      </c>
      <c r="AJ33" s="43">
        <f t="shared" ref="AJ33:AJ36" si="80">((O$14*Y5)+(Y33*$E$40))/Y40</f>
        <v>51.092084152562201</v>
      </c>
      <c r="AK33" s="44">
        <f t="shared" ref="AK33:AK36" si="81">((P$14*Z5)+(Z33*$E$40))/Z40</f>
        <v>84.452719403244899</v>
      </c>
      <c r="AM33" s="40">
        <v>5</v>
      </c>
      <c r="AN33" s="90">
        <v>5</v>
      </c>
      <c r="AO33" s="40">
        <v>5</v>
      </c>
      <c r="AP33" s="40">
        <v>5</v>
      </c>
      <c r="AQ33" s="40">
        <v>5</v>
      </c>
      <c r="AR33" s="40">
        <v>5</v>
      </c>
      <c r="AS33" s="40">
        <v>5</v>
      </c>
      <c r="AT33" s="40">
        <v>5</v>
      </c>
      <c r="AU33" s="40">
        <v>5</v>
      </c>
      <c r="AV33" s="14">
        <v>5</v>
      </c>
      <c r="AX33" s="43">
        <f t="shared" ref="AX33:AX36" si="82">((G15*AM5)+(AM33*$E$37))/AM40</f>
        <v>40.934881592666777</v>
      </c>
      <c r="AY33" s="87">
        <f t="shared" ref="AY33:AY36" si="83">((H15*AN5)+(AN33*$E$37))/AN40</f>
        <v>32.925883020188493</v>
      </c>
      <c r="AZ33" s="43">
        <f t="shared" ref="AZ33:AZ36" si="84">((I15*AO5)+(AO33*$E$37))/AO40</f>
        <v>34.422514066560694</v>
      </c>
      <c r="BA33" s="43">
        <f t="shared" ref="BA33:BA36" si="85">((J15*AP5)+(AP33*$E$37))/AP40</f>
        <v>36.061681403063588</v>
      </c>
      <c r="BB33" s="43">
        <f t="shared" ref="BB33:BB36" si="86">((K15*AQ5)+(AQ33*$E$37))/AQ40</f>
        <v>37.864765473216764</v>
      </c>
      <c r="BC33" s="43">
        <f t="shared" ref="BC33:BC36" si="87">((L15*AR5)+(AR33*$E$37))/AR40</f>
        <v>39.857647866543964</v>
      </c>
      <c r="BD33" s="43">
        <f t="shared" ref="BD33:BD36" si="88">((M15*AS5)+(AS33*$E$37))/AS40</f>
        <v>42.071961636907517</v>
      </c>
      <c r="BE33" s="43">
        <f t="shared" ref="BE33:BE36" si="89">((N15*AT5)+(AT33*$E$37))/AT40</f>
        <v>44.546782909666781</v>
      </c>
      <c r="BF33" s="43">
        <f t="shared" ref="BF33:BF36" si="90">((O15*AU5)+(AU33*$E$37))/AU40</f>
        <v>47.330956841520958</v>
      </c>
      <c r="BG33" s="44">
        <f t="shared" ref="BG33:BG36" si="91">((P15*AV5)+(AV33*$E$37))/AV40</f>
        <v>43.274017683676306</v>
      </c>
    </row>
    <row r="34" spans="1:59" x14ac:dyDescent="0.25">
      <c r="A34" s="114" t="s">
        <v>95</v>
      </c>
      <c r="B34" s="114"/>
      <c r="C34" s="114"/>
      <c r="D34" s="114"/>
      <c r="E34" s="57">
        <v>22.534800000000001</v>
      </c>
      <c r="Q34" s="40">
        <v>0</v>
      </c>
      <c r="R34" s="40">
        <v>5</v>
      </c>
      <c r="S34" s="90">
        <v>5</v>
      </c>
      <c r="T34" s="40">
        <v>5</v>
      </c>
      <c r="U34" s="40">
        <v>5</v>
      </c>
      <c r="V34" s="40">
        <v>5</v>
      </c>
      <c r="W34" s="90">
        <v>5</v>
      </c>
      <c r="X34" s="40">
        <v>5</v>
      </c>
      <c r="Y34" s="40">
        <v>5</v>
      </c>
      <c r="Z34" s="14">
        <v>5</v>
      </c>
      <c r="AB34" s="43">
        <f t="shared" si="72"/>
        <v>4.8094534032</v>
      </c>
      <c r="AC34" s="43">
        <f t="shared" si="73"/>
        <v>36.27167774776764</v>
      </c>
      <c r="AD34" s="87">
        <f t="shared" si="74"/>
        <v>35.480149271953685</v>
      </c>
      <c r="AE34" s="43">
        <f t="shared" si="75"/>
        <v>34.76113176590718</v>
      </c>
      <c r="AF34" s="43">
        <f t="shared" si="76"/>
        <v>40.14480534265136</v>
      </c>
      <c r="AG34" s="43">
        <f t="shared" si="77"/>
        <v>36.581927508232752</v>
      </c>
      <c r="AH34" s="87">
        <f t="shared" si="78"/>
        <v>36.667749494744385</v>
      </c>
      <c r="AI34" s="43">
        <f t="shared" si="79"/>
        <v>37.997985740790902</v>
      </c>
      <c r="AJ34" s="43">
        <f t="shared" si="80"/>
        <v>35.941857617535085</v>
      </c>
      <c r="AK34" s="44">
        <f t="shared" si="81"/>
        <v>67.194230681360338</v>
      </c>
      <c r="AM34" s="40">
        <v>7</v>
      </c>
      <c r="AN34" s="40">
        <v>7</v>
      </c>
      <c r="AO34" s="90">
        <v>7</v>
      </c>
      <c r="AP34" s="40">
        <v>7</v>
      </c>
      <c r="AQ34" s="40">
        <v>7</v>
      </c>
      <c r="AR34" s="40">
        <v>7</v>
      </c>
      <c r="AS34" s="90">
        <v>7</v>
      </c>
      <c r="AT34" s="40">
        <v>7</v>
      </c>
      <c r="AU34" s="40">
        <v>7</v>
      </c>
      <c r="AV34" s="14">
        <v>7</v>
      </c>
      <c r="AX34" s="43">
        <f t="shared" si="82"/>
        <v>50.486353964289016</v>
      </c>
      <c r="AY34" s="43">
        <f t="shared" si="83"/>
        <v>41.576997382355657</v>
      </c>
      <c r="AZ34" s="87">
        <f t="shared" si="84"/>
        <v>43.274017683676298</v>
      </c>
      <c r="BA34" s="43">
        <f t="shared" si="85"/>
        <v>45.115465244683804</v>
      </c>
      <c r="BB34" s="43">
        <f t="shared" si="86"/>
        <v>47.120597033336416</v>
      </c>
      <c r="BC34" s="43">
        <f t="shared" si="87"/>
        <v>49.312252709305547</v>
      </c>
      <c r="BD34" s="87">
        <f t="shared" si="88"/>
        <v>51.717728451222897</v>
      </c>
      <c r="BE34" s="43">
        <f t="shared" si="89"/>
        <v>54.369919653849706</v>
      </c>
      <c r="BF34" s="43">
        <f t="shared" si="90"/>
        <v>57.308834229733478</v>
      </c>
      <c r="BG34" s="44">
        <f t="shared" si="91"/>
        <v>57.308834229733478</v>
      </c>
    </row>
    <row r="35" spans="1:59" x14ac:dyDescent="0.25">
      <c r="A35" s="1"/>
      <c r="B35" s="1"/>
      <c r="C35" s="45"/>
      <c r="D35" s="45"/>
      <c r="E35" s="1"/>
      <c r="Q35" s="40">
        <v>0</v>
      </c>
      <c r="R35" s="40">
        <v>2</v>
      </c>
      <c r="S35" s="40">
        <v>2</v>
      </c>
      <c r="T35" s="90">
        <v>2</v>
      </c>
      <c r="U35" s="40">
        <v>2</v>
      </c>
      <c r="V35" s="90">
        <v>2</v>
      </c>
      <c r="W35" s="40">
        <v>2</v>
      </c>
      <c r="X35" s="40">
        <v>2</v>
      </c>
      <c r="Y35" s="40">
        <v>2</v>
      </c>
      <c r="Z35" s="14">
        <v>2</v>
      </c>
      <c r="AB35" s="43">
        <f t="shared" si="72"/>
        <v>4.4531975955555554</v>
      </c>
      <c r="AC35" s="43">
        <f t="shared" si="73"/>
        <v>15.693587092228654</v>
      </c>
      <c r="AD35" s="43">
        <f t="shared" si="74"/>
        <v>14.88321270032389</v>
      </c>
      <c r="AE35" s="87">
        <f t="shared" si="75"/>
        <v>14.1470757298477</v>
      </c>
      <c r="AF35" s="43">
        <f t="shared" si="76"/>
        <v>19.658932010800083</v>
      </c>
      <c r="AG35" s="87">
        <f t="shared" si="77"/>
        <v>16.011223751752464</v>
      </c>
      <c r="AH35" s="43">
        <f t="shared" si="78"/>
        <v>16.099089118895318</v>
      </c>
      <c r="AI35" s="43">
        <f t="shared" si="79"/>
        <v>17.460997656514365</v>
      </c>
      <c r="AJ35" s="43">
        <f t="shared" si="80"/>
        <v>15.355914101752463</v>
      </c>
      <c r="AK35" s="44">
        <f t="shared" si="81"/>
        <v>35.422921897891065</v>
      </c>
      <c r="AM35" s="40">
        <v>0</v>
      </c>
      <c r="AN35" s="40">
        <v>10</v>
      </c>
      <c r="AO35" s="40">
        <v>10</v>
      </c>
      <c r="AP35" s="90">
        <v>10</v>
      </c>
      <c r="AQ35" s="40">
        <v>10</v>
      </c>
      <c r="AR35" s="90">
        <v>10</v>
      </c>
      <c r="AS35" s="40">
        <v>10</v>
      </c>
      <c r="AT35" s="40">
        <v>10</v>
      </c>
      <c r="AU35" s="40">
        <v>10</v>
      </c>
      <c r="AV35" s="14">
        <v>10</v>
      </c>
      <c r="AX35" s="43">
        <f t="shared" si="82"/>
        <v>0</v>
      </c>
      <c r="AY35" s="43">
        <f t="shared" si="83"/>
        <v>54.092522104595382</v>
      </c>
      <c r="AZ35" s="43">
        <f t="shared" si="84"/>
        <v>56.095948849210025</v>
      </c>
      <c r="BA35" s="87">
        <f t="shared" si="85"/>
        <v>58.253485343410411</v>
      </c>
      <c r="BB35" s="43">
        <f t="shared" si="86"/>
        <v>60.583624757146829</v>
      </c>
      <c r="BC35" s="87">
        <f t="shared" si="87"/>
        <v>63.107942455361275</v>
      </c>
      <c r="BD35" s="43">
        <f t="shared" si="88"/>
        <v>65.851766040376987</v>
      </c>
      <c r="BE35" s="43">
        <f t="shared" si="89"/>
        <v>68.845028133121389</v>
      </c>
      <c r="BF35" s="43">
        <f t="shared" si="90"/>
        <v>72.123362806127176</v>
      </c>
      <c r="BG35" s="44">
        <f t="shared" si="91"/>
        <v>75.729530946433528</v>
      </c>
    </row>
    <row r="36" spans="1:59" x14ac:dyDescent="0.25">
      <c r="A36" s="113" t="s">
        <v>96</v>
      </c>
      <c r="B36" s="113"/>
      <c r="C36" s="113"/>
      <c r="D36" s="113"/>
      <c r="E36" s="113"/>
      <c r="Q36" s="40">
        <v>0</v>
      </c>
      <c r="R36" s="40">
        <v>0</v>
      </c>
      <c r="S36" s="40">
        <v>0</v>
      </c>
      <c r="T36" s="40">
        <v>0</v>
      </c>
      <c r="U36" s="40">
        <v>0</v>
      </c>
      <c r="V36" s="40">
        <v>0</v>
      </c>
      <c r="W36" s="40">
        <v>0</v>
      </c>
      <c r="X36" s="40">
        <v>0</v>
      </c>
      <c r="Y36" s="40">
        <v>0</v>
      </c>
      <c r="Z36" s="40">
        <v>0</v>
      </c>
      <c r="AB36" s="43">
        <f t="shared" si="72"/>
        <v>4.0078778360000005</v>
      </c>
      <c r="AC36" s="43">
        <f t="shared" si="73"/>
        <v>1.9587667006666669</v>
      </c>
      <c r="AD36" s="43">
        <f t="shared" si="74"/>
        <v>0.85266470896551727</v>
      </c>
      <c r="AE36" s="43">
        <f t="shared" si="75"/>
        <v>-0.22108843571428571</v>
      </c>
      <c r="AF36" s="43">
        <f t="shared" si="76"/>
        <v>8.3447217629629638</v>
      </c>
      <c r="AG36" s="43">
        <f t="shared" si="77"/>
        <v>2.7732207969230767</v>
      </c>
      <c r="AH36" s="43">
        <f t="shared" si="78"/>
        <v>3.0317634456000002</v>
      </c>
      <c r="AI36" s="43">
        <f t="shared" si="79"/>
        <v>5.5414268633333341</v>
      </c>
      <c r="AJ36" s="43">
        <f t="shared" si="80"/>
        <v>1.9382928443478262</v>
      </c>
      <c r="AK36" s="43">
        <f t="shared" si="81"/>
        <v>8.1334829499999994</v>
      </c>
      <c r="AM36" s="40">
        <v>0</v>
      </c>
      <c r="AN36" s="40">
        <v>0</v>
      </c>
      <c r="AO36" s="40">
        <v>0</v>
      </c>
      <c r="AP36" s="40">
        <v>0</v>
      </c>
      <c r="AQ36" s="40">
        <v>0</v>
      </c>
      <c r="AR36" s="40">
        <v>0</v>
      </c>
      <c r="AS36" s="40">
        <v>0</v>
      </c>
      <c r="AT36" s="40">
        <v>0</v>
      </c>
      <c r="AU36" s="40">
        <v>0</v>
      </c>
      <c r="AV36" s="40">
        <v>0</v>
      </c>
      <c r="AX36" s="43">
        <f t="shared" si="82"/>
        <v>0</v>
      </c>
      <c r="AY36" s="43">
        <f t="shared" si="83"/>
        <v>0</v>
      </c>
      <c r="AZ36" s="43">
        <f t="shared" si="84"/>
        <v>0</v>
      </c>
      <c r="BA36" s="43">
        <f t="shared" si="85"/>
        <v>0</v>
      </c>
      <c r="BB36" s="43">
        <f t="shared" si="86"/>
        <v>0</v>
      </c>
      <c r="BC36" s="43">
        <f t="shared" si="87"/>
        <v>0</v>
      </c>
      <c r="BD36" s="43">
        <f t="shared" si="88"/>
        <v>0</v>
      </c>
      <c r="BE36" s="43">
        <f t="shared" si="89"/>
        <v>0</v>
      </c>
      <c r="BF36" s="43">
        <f t="shared" si="90"/>
        <v>0</v>
      </c>
      <c r="BG36" s="43">
        <f t="shared" si="91"/>
        <v>0</v>
      </c>
    </row>
    <row r="37" spans="1:59" x14ac:dyDescent="0.25">
      <c r="A37" s="107" t="s">
        <v>84</v>
      </c>
      <c r="B37" s="107"/>
      <c r="C37" s="107"/>
      <c r="D37" s="107"/>
      <c r="E37" s="55">
        <f>(E31/'Calibration Curves'!B13)*1000/(E19/1000)</f>
        <v>302.91812378573411</v>
      </c>
      <c r="Q37" s="121" t="s">
        <v>108</v>
      </c>
      <c r="R37" s="122"/>
      <c r="S37" s="123"/>
      <c r="T37" s="50">
        <f>SUM(Q32:Z36)</f>
        <v>136</v>
      </c>
      <c r="AB37" s="115" t="s">
        <v>97</v>
      </c>
      <c r="AC37" s="116"/>
      <c r="AD37" s="52">
        <f>SMALL(AB32:AK36,COUNTIF(AB32:AK36,0)+1)</f>
        <v>-0.24761904800000001</v>
      </c>
      <c r="AE37" s="53" t="s">
        <v>98</v>
      </c>
      <c r="AF37" s="54">
        <f>MAX(AB32:AK36)</f>
        <v>106.02583030560056</v>
      </c>
      <c r="AM37" s="112" t="s">
        <v>108</v>
      </c>
      <c r="AN37" s="112"/>
      <c r="AO37" s="112"/>
      <c r="AP37" s="50">
        <f>SUM(AM32:AV36)</f>
        <v>212</v>
      </c>
      <c r="AX37" s="115" t="s">
        <v>97</v>
      </c>
      <c r="AY37" s="116"/>
      <c r="AZ37" s="52">
        <f>SMALL(AX32:BG36,COUNTIF(AX32:BG36,0)+1)</f>
        <v>0</v>
      </c>
      <c r="BA37" s="53" t="s">
        <v>98</v>
      </c>
      <c r="BB37" s="54">
        <f>MAX(AX32:BG36)</f>
        <v>75.729530946433528</v>
      </c>
    </row>
    <row r="38" spans="1:59" x14ac:dyDescent="0.25">
      <c r="A38" s="107" t="s">
        <v>85</v>
      </c>
      <c r="B38" s="107"/>
      <c r="C38" s="107"/>
      <c r="D38" s="107"/>
      <c r="E38" s="85">
        <f>((E32/(100/85))/'Calibration Curves'!C13)*1000/(E20/1000)</f>
        <v>261.57927590511861</v>
      </c>
      <c r="Q38" s="118" t="s">
        <v>100</v>
      </c>
      <c r="R38" s="119"/>
      <c r="S38" s="119"/>
      <c r="T38" s="119"/>
      <c r="U38" s="119"/>
      <c r="V38" s="119"/>
      <c r="W38" s="119"/>
      <c r="X38" s="119"/>
      <c r="Y38" s="119"/>
      <c r="Z38" s="120"/>
      <c r="AM38" s="105" t="s">
        <v>100</v>
      </c>
      <c r="AN38" s="105"/>
      <c r="AO38" s="105"/>
      <c r="AP38" s="105"/>
      <c r="AQ38" s="105"/>
      <c r="AR38" s="105"/>
      <c r="AS38" s="105"/>
      <c r="AT38" s="105"/>
      <c r="AU38" s="105"/>
      <c r="AV38" s="105"/>
    </row>
    <row r="39" spans="1:59" x14ac:dyDescent="0.25">
      <c r="A39" s="107" t="s">
        <v>86</v>
      </c>
      <c r="B39" s="107"/>
      <c r="C39" s="107"/>
      <c r="D39" s="107"/>
      <c r="E39" s="85">
        <f>(E33/'Calibration Curves'!D13)*1000/(E21/1000)</f>
        <v>144.97905252980982</v>
      </c>
      <c r="Q39" s="40">
        <f>SUM(Q4,Q11,Q18,Q25,Q32)</f>
        <v>22</v>
      </c>
      <c r="R39" s="40">
        <f t="shared" ref="R39:Z39" si="92">SUM(R4,R11,R18,R25,R32)</f>
        <v>23</v>
      </c>
      <c r="S39" s="40">
        <f t="shared" si="92"/>
        <v>24</v>
      </c>
      <c r="T39" s="40">
        <f t="shared" si="92"/>
        <v>25</v>
      </c>
      <c r="U39" s="40">
        <f t="shared" si="92"/>
        <v>26</v>
      </c>
      <c r="V39" s="40">
        <f t="shared" si="92"/>
        <v>27</v>
      </c>
      <c r="W39" s="40">
        <f t="shared" si="92"/>
        <v>28</v>
      </c>
      <c r="X39" s="40">
        <f t="shared" si="92"/>
        <v>29</v>
      </c>
      <c r="Y39" s="40">
        <f t="shared" si="92"/>
        <v>30</v>
      </c>
      <c r="Z39" s="40">
        <f t="shared" si="92"/>
        <v>30</v>
      </c>
      <c r="AM39" s="40">
        <f>SUM(AM4,AM11,AM18,AM25,AM32)</f>
        <v>40</v>
      </c>
      <c r="AN39" s="40">
        <f t="shared" ref="AN39:AV39" si="93">SUM(AN4,AN11,AN18,AN25,AN32)</f>
        <v>39</v>
      </c>
      <c r="AO39" s="40">
        <f t="shared" si="93"/>
        <v>38</v>
      </c>
      <c r="AP39" s="40">
        <f t="shared" si="93"/>
        <v>37</v>
      </c>
      <c r="AQ39" s="40">
        <f t="shared" si="93"/>
        <v>36</v>
      </c>
      <c r="AR39" s="40">
        <f t="shared" si="93"/>
        <v>35</v>
      </c>
      <c r="AS39" s="40">
        <f t="shared" si="93"/>
        <v>34</v>
      </c>
      <c r="AT39" s="40">
        <f t="shared" si="93"/>
        <v>33</v>
      </c>
      <c r="AU39" s="40">
        <f t="shared" si="93"/>
        <v>32</v>
      </c>
      <c r="AV39" s="40">
        <f t="shared" si="93"/>
        <v>32</v>
      </c>
    </row>
    <row r="40" spans="1:59" x14ac:dyDescent="0.25">
      <c r="A40" s="107" t="s">
        <v>87</v>
      </c>
      <c r="B40" s="107"/>
      <c r="C40" s="107"/>
      <c r="D40" s="107"/>
      <c r="E40" s="55">
        <f>(E34/'Calibration Curves'!E13)*1000/(E22/1000)</f>
        <v>300.18382842680171</v>
      </c>
      <c r="Q40" s="40">
        <f t="shared" ref="Q40:Z43" si="94">SUM(Q5,Q12,Q19,Q26,Q33)</f>
        <v>22</v>
      </c>
      <c r="R40" s="40">
        <f t="shared" si="94"/>
        <v>42</v>
      </c>
      <c r="S40" s="40">
        <f t="shared" si="94"/>
        <v>42</v>
      </c>
      <c r="T40" s="40">
        <f t="shared" si="94"/>
        <v>42</v>
      </c>
      <c r="U40" s="40">
        <f t="shared" si="94"/>
        <v>42</v>
      </c>
      <c r="V40" s="40">
        <f t="shared" si="94"/>
        <v>42</v>
      </c>
      <c r="W40" s="40">
        <f t="shared" si="94"/>
        <v>42</v>
      </c>
      <c r="X40" s="40">
        <f t="shared" si="94"/>
        <v>42</v>
      </c>
      <c r="Y40" s="40">
        <f t="shared" si="94"/>
        <v>42</v>
      </c>
      <c r="Z40" s="40">
        <f t="shared" si="94"/>
        <v>27</v>
      </c>
      <c r="AM40" s="40">
        <f t="shared" ref="AM40:AV43" si="95">SUM(AM5,AM12,AM19,AM26,AM33)</f>
        <v>37</v>
      </c>
      <c r="AN40" s="40">
        <f t="shared" si="95"/>
        <v>46</v>
      </c>
      <c r="AO40" s="40">
        <f t="shared" si="95"/>
        <v>44</v>
      </c>
      <c r="AP40" s="40">
        <f t="shared" si="95"/>
        <v>42</v>
      </c>
      <c r="AQ40" s="40">
        <f t="shared" si="95"/>
        <v>40</v>
      </c>
      <c r="AR40" s="40">
        <f t="shared" si="95"/>
        <v>38</v>
      </c>
      <c r="AS40" s="40">
        <f t="shared" si="95"/>
        <v>36</v>
      </c>
      <c r="AT40" s="40">
        <f t="shared" si="95"/>
        <v>34</v>
      </c>
      <c r="AU40" s="40">
        <f t="shared" si="95"/>
        <v>32</v>
      </c>
      <c r="AV40" s="40">
        <f t="shared" si="95"/>
        <v>35</v>
      </c>
    </row>
    <row r="41" spans="1:59" x14ac:dyDescent="0.25">
      <c r="Q41" s="40">
        <f t="shared" si="94"/>
        <v>25</v>
      </c>
      <c r="R41" s="40">
        <f t="shared" si="94"/>
        <v>43</v>
      </c>
      <c r="S41" s="40">
        <f t="shared" si="94"/>
        <v>43</v>
      </c>
      <c r="T41" s="40">
        <f t="shared" si="94"/>
        <v>43</v>
      </c>
      <c r="U41" s="40">
        <f t="shared" si="94"/>
        <v>43</v>
      </c>
      <c r="V41" s="40">
        <f t="shared" si="94"/>
        <v>43</v>
      </c>
      <c r="W41" s="40">
        <f t="shared" si="94"/>
        <v>43</v>
      </c>
      <c r="X41" s="40">
        <f t="shared" si="94"/>
        <v>43</v>
      </c>
      <c r="Y41" s="40">
        <f t="shared" si="94"/>
        <v>43</v>
      </c>
      <c r="Z41" s="40">
        <f t="shared" si="94"/>
        <v>25</v>
      </c>
      <c r="AM41" s="40">
        <f t="shared" si="95"/>
        <v>42</v>
      </c>
      <c r="AN41" s="40">
        <f t="shared" si="95"/>
        <v>51</v>
      </c>
      <c r="AO41" s="40">
        <f t="shared" si="95"/>
        <v>49</v>
      </c>
      <c r="AP41" s="40">
        <f t="shared" si="95"/>
        <v>47</v>
      </c>
      <c r="AQ41" s="40">
        <f t="shared" si="95"/>
        <v>45</v>
      </c>
      <c r="AR41" s="40">
        <f t="shared" si="95"/>
        <v>43</v>
      </c>
      <c r="AS41" s="40">
        <f t="shared" si="95"/>
        <v>41</v>
      </c>
      <c r="AT41" s="40">
        <f t="shared" si="95"/>
        <v>39</v>
      </c>
      <c r="AU41" s="40">
        <f t="shared" si="95"/>
        <v>37</v>
      </c>
      <c r="AV41" s="40">
        <f t="shared" si="95"/>
        <v>37</v>
      </c>
    </row>
    <row r="42" spans="1:59" x14ac:dyDescent="0.25">
      <c r="A42" s="106"/>
      <c r="B42" s="106"/>
      <c r="C42" s="106"/>
      <c r="D42" s="106"/>
      <c r="Q42" s="40">
        <f t="shared" si="94"/>
        <v>27</v>
      </c>
      <c r="R42" s="40">
        <f t="shared" si="94"/>
        <v>42</v>
      </c>
      <c r="S42" s="40">
        <f t="shared" si="94"/>
        <v>42</v>
      </c>
      <c r="T42" s="40">
        <f t="shared" si="94"/>
        <v>42</v>
      </c>
      <c r="U42" s="40">
        <f t="shared" si="94"/>
        <v>42</v>
      </c>
      <c r="V42" s="40">
        <f t="shared" si="94"/>
        <v>42</v>
      </c>
      <c r="W42" s="40">
        <f t="shared" si="94"/>
        <v>42</v>
      </c>
      <c r="X42" s="40">
        <f t="shared" si="94"/>
        <v>42</v>
      </c>
      <c r="Y42" s="40">
        <f t="shared" si="94"/>
        <v>42</v>
      </c>
      <c r="Z42" s="40">
        <f t="shared" si="94"/>
        <v>22</v>
      </c>
      <c r="AM42" s="40">
        <f t="shared" si="95"/>
        <v>37</v>
      </c>
      <c r="AN42" s="40">
        <f t="shared" si="95"/>
        <v>56</v>
      </c>
      <c r="AO42" s="40">
        <f t="shared" si="95"/>
        <v>54</v>
      </c>
      <c r="AP42" s="40">
        <f t="shared" si="95"/>
        <v>52</v>
      </c>
      <c r="AQ42" s="40">
        <f t="shared" si="95"/>
        <v>50</v>
      </c>
      <c r="AR42" s="40">
        <f t="shared" si="95"/>
        <v>48</v>
      </c>
      <c r="AS42" s="40">
        <f t="shared" si="95"/>
        <v>46</v>
      </c>
      <c r="AT42" s="40">
        <f t="shared" si="95"/>
        <v>44</v>
      </c>
      <c r="AU42" s="40">
        <f t="shared" si="95"/>
        <v>42</v>
      </c>
      <c r="AV42" s="40">
        <f t="shared" si="95"/>
        <v>40</v>
      </c>
    </row>
    <row r="43" spans="1:59" x14ac:dyDescent="0.25">
      <c r="A43" s="41"/>
      <c r="B43" s="41"/>
      <c r="C43" s="41"/>
      <c r="Q43" s="40">
        <f t="shared" si="94"/>
        <v>30</v>
      </c>
      <c r="R43" s="40">
        <f t="shared" si="94"/>
        <v>30</v>
      </c>
      <c r="S43" s="40">
        <f t="shared" si="94"/>
        <v>29</v>
      </c>
      <c r="T43" s="40">
        <f t="shared" si="94"/>
        <v>28</v>
      </c>
      <c r="U43" s="40">
        <f t="shared" si="94"/>
        <v>27</v>
      </c>
      <c r="V43" s="40">
        <f t="shared" si="94"/>
        <v>26</v>
      </c>
      <c r="W43" s="40">
        <f t="shared" si="94"/>
        <v>25</v>
      </c>
      <c r="X43" s="40">
        <f t="shared" si="94"/>
        <v>24</v>
      </c>
      <c r="Y43" s="40">
        <f t="shared" si="94"/>
        <v>23</v>
      </c>
      <c r="Z43" s="40">
        <f t="shared" si="94"/>
        <v>22</v>
      </c>
      <c r="AM43" s="40">
        <f t="shared" si="95"/>
        <v>40</v>
      </c>
      <c r="AN43" s="40">
        <f t="shared" si="95"/>
        <v>40</v>
      </c>
      <c r="AO43" s="40">
        <f t="shared" si="95"/>
        <v>39</v>
      </c>
      <c r="AP43" s="40">
        <f t="shared" si="95"/>
        <v>38</v>
      </c>
      <c r="AQ43" s="40">
        <f t="shared" si="95"/>
        <v>37</v>
      </c>
      <c r="AR43" s="40">
        <f t="shared" si="95"/>
        <v>36</v>
      </c>
      <c r="AS43" s="40">
        <f t="shared" si="95"/>
        <v>35</v>
      </c>
      <c r="AT43" s="40">
        <f t="shared" si="95"/>
        <v>34</v>
      </c>
      <c r="AU43" s="40">
        <f t="shared" si="95"/>
        <v>33</v>
      </c>
      <c r="AV43" s="40">
        <f t="shared" si="95"/>
        <v>32</v>
      </c>
    </row>
    <row r="44" spans="1:59" x14ac:dyDescent="0.25">
      <c r="D44" s="41"/>
    </row>
  </sheetData>
  <protectedRanges>
    <protectedRange algorithmName="SHA-512" hashValue="IifMiaKCNApkSFItaWbIKEWxtFaQUjJZQPTth6Is5sSNMUDi1niOX4fxJi0RZ12CYQTshhG1nbPKsoDLv8nCEA==" saltValue="rURNSr0FaZ6VaaOaSsHPRA==" spinCount="100000" sqref="E31:E34" name="Mass_Used"/>
  </protectedRanges>
  <mergeCells count="71">
    <mergeCell ref="Q17:Z17"/>
    <mergeCell ref="G2:P2"/>
    <mergeCell ref="G3:P3"/>
    <mergeCell ref="G6:P6"/>
    <mergeCell ref="G9:P9"/>
    <mergeCell ref="G12:P12"/>
    <mergeCell ref="Q10:Z10"/>
    <mergeCell ref="A39:D39"/>
    <mergeCell ref="A40:D40"/>
    <mergeCell ref="A42:D42"/>
    <mergeCell ref="Q37:S37"/>
    <mergeCell ref="Q30:S30"/>
    <mergeCell ref="Q31:Z31"/>
    <mergeCell ref="A32:D32"/>
    <mergeCell ref="A33:D33"/>
    <mergeCell ref="A34:D34"/>
    <mergeCell ref="A36:E36"/>
    <mergeCell ref="A37:D37"/>
    <mergeCell ref="AB37:AC37"/>
    <mergeCell ref="AM37:AO37"/>
    <mergeCell ref="AX37:AY37"/>
    <mergeCell ref="A38:D38"/>
    <mergeCell ref="Q38:Z38"/>
    <mergeCell ref="AM38:AV38"/>
    <mergeCell ref="AB31:AK31"/>
    <mergeCell ref="AM31:AV31"/>
    <mergeCell ref="AX31:BG31"/>
    <mergeCell ref="A25:D25"/>
    <mergeCell ref="A26:D26"/>
    <mergeCell ref="A27:D27"/>
    <mergeCell ref="A28:D28"/>
    <mergeCell ref="A30:E30"/>
    <mergeCell ref="AB30:AC30"/>
    <mergeCell ref="AM30:AO30"/>
    <mergeCell ref="AX30:AY30"/>
    <mergeCell ref="A31:D31"/>
    <mergeCell ref="AB23:AC23"/>
    <mergeCell ref="AM23:AO23"/>
    <mergeCell ref="AX23:AY23"/>
    <mergeCell ref="A24:E24"/>
    <mergeCell ref="Q24:Z24"/>
    <mergeCell ref="AB24:AK24"/>
    <mergeCell ref="AM24:AV24"/>
    <mergeCell ref="AX24:BG24"/>
    <mergeCell ref="Q23:S23"/>
    <mergeCell ref="A18:E18"/>
    <mergeCell ref="A19:D19"/>
    <mergeCell ref="A20:D20"/>
    <mergeCell ref="A21:D21"/>
    <mergeCell ref="A22:D22"/>
    <mergeCell ref="AM16:AO16"/>
    <mergeCell ref="AX16:AY16"/>
    <mergeCell ref="AB17:AK17"/>
    <mergeCell ref="AM17:AV17"/>
    <mergeCell ref="AX17:BG17"/>
    <mergeCell ref="AB16:AC16"/>
    <mergeCell ref="A13:D13"/>
    <mergeCell ref="A14:D14"/>
    <mergeCell ref="A15:D15"/>
    <mergeCell ref="A16:D16"/>
    <mergeCell ref="Q16:S16"/>
    <mergeCell ref="AB10:AK10"/>
    <mergeCell ref="AM10:AV10"/>
    <mergeCell ref="AX10:BG10"/>
    <mergeCell ref="A12:E12"/>
    <mergeCell ref="Q1:AK1"/>
    <mergeCell ref="AM1:BG1"/>
    <mergeCell ref="Q2:Z2"/>
    <mergeCell ref="AB2:AK2"/>
    <mergeCell ref="AM2:AV2"/>
    <mergeCell ref="AX2:BG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A3697-3EFC-4C74-B2BE-5FB06A403AD7}">
  <dimension ref="A1:X26"/>
  <sheetViews>
    <sheetView topLeftCell="C1" workbookViewId="0">
      <selection activeCell="G14" sqref="G14"/>
    </sheetView>
  </sheetViews>
  <sheetFormatPr defaultRowHeight="15" x14ac:dyDescent="0.25"/>
  <sheetData>
    <row r="1" spans="1:24" x14ac:dyDescent="0.25">
      <c r="B1" s="1" t="s">
        <v>110</v>
      </c>
      <c r="C1" s="124" t="s">
        <v>313</v>
      </c>
      <c r="D1" s="124"/>
      <c r="E1" s="124"/>
      <c r="F1" s="124"/>
      <c r="G1" s="124"/>
      <c r="H1" s="124"/>
      <c r="I1" s="124"/>
      <c r="J1" s="124"/>
      <c r="K1" s="124"/>
      <c r="O1" s="103" t="s">
        <v>290</v>
      </c>
      <c r="P1" s="103"/>
      <c r="Q1" s="103"/>
      <c r="R1" s="103"/>
      <c r="S1" s="103"/>
      <c r="T1" s="103"/>
      <c r="U1" s="103"/>
      <c r="V1" s="103"/>
      <c r="W1" s="103"/>
      <c r="X1" s="103"/>
    </row>
    <row r="2" spans="1:24" x14ac:dyDescent="0.25">
      <c r="A2">
        <v>1</v>
      </c>
      <c r="B2" s="26" t="s">
        <v>120</v>
      </c>
      <c r="C2" s="25">
        <v>2</v>
      </c>
      <c r="D2" s="25">
        <v>2</v>
      </c>
      <c r="E2" s="25">
        <v>2</v>
      </c>
      <c r="F2" s="25">
        <v>2</v>
      </c>
      <c r="G2" s="25">
        <v>2</v>
      </c>
      <c r="H2" s="25">
        <v>2</v>
      </c>
      <c r="I2" s="25">
        <v>2</v>
      </c>
      <c r="J2" s="25">
        <v>2</v>
      </c>
      <c r="K2" s="25">
        <v>2</v>
      </c>
      <c r="O2" s="1" t="s">
        <v>110</v>
      </c>
      <c r="P2" s="1" t="s">
        <v>111</v>
      </c>
      <c r="Q2" s="1" t="s">
        <v>112</v>
      </c>
      <c r="R2" s="1" t="s">
        <v>113</v>
      </c>
      <c r="S2" s="1" t="s">
        <v>114</v>
      </c>
      <c r="T2" s="1" t="s">
        <v>115</v>
      </c>
      <c r="U2" s="1" t="s">
        <v>116</v>
      </c>
      <c r="V2" s="1" t="s">
        <v>117</v>
      </c>
      <c r="W2" s="1" t="s">
        <v>118</v>
      </c>
      <c r="X2" s="1" t="s">
        <v>119</v>
      </c>
    </row>
    <row r="3" spans="1:24" x14ac:dyDescent="0.25">
      <c r="A3">
        <v>2</v>
      </c>
      <c r="B3" s="60" t="s">
        <v>121</v>
      </c>
      <c r="C3" s="32">
        <v>5</v>
      </c>
      <c r="D3" s="32">
        <v>5</v>
      </c>
      <c r="E3" s="32">
        <v>5</v>
      </c>
      <c r="F3" s="32">
        <v>5</v>
      </c>
      <c r="G3" s="32">
        <v>5</v>
      </c>
      <c r="H3" s="32">
        <v>5</v>
      </c>
      <c r="I3" s="32">
        <v>5</v>
      </c>
      <c r="J3" s="32">
        <v>5</v>
      </c>
      <c r="K3" s="32">
        <v>5</v>
      </c>
      <c r="N3">
        <v>1</v>
      </c>
      <c r="O3" s="93">
        <f>(O$8*B9)/20</f>
        <v>1.420262361</v>
      </c>
      <c r="P3" s="93">
        <f t="shared" ref="P3:X7" si="0">(P$8*C2)/20</f>
        <v>0.63707602330000002</v>
      </c>
      <c r="Q3" s="93">
        <f t="shared" si="0"/>
        <v>1.2952698229999999</v>
      </c>
      <c r="R3" s="93">
        <f t="shared" si="0"/>
        <v>2.0186807290000002</v>
      </c>
      <c r="S3" s="93">
        <f t="shared" si="0"/>
        <v>2.9845761899999999</v>
      </c>
      <c r="T3" s="93">
        <f t="shared" si="0"/>
        <v>1.174449101</v>
      </c>
      <c r="U3" s="93">
        <f t="shared" si="0"/>
        <v>1.0935026720000001</v>
      </c>
      <c r="V3" s="93">
        <f t="shared" si="0"/>
        <v>4.056927891</v>
      </c>
      <c r="W3" s="93">
        <f t="shared" si="0"/>
        <v>1.4896404560000001</v>
      </c>
      <c r="X3" s="93">
        <f t="shared" si="0"/>
        <v>1.78155185</v>
      </c>
    </row>
    <row r="4" spans="1:24" x14ac:dyDescent="0.25">
      <c r="A4">
        <v>3</v>
      </c>
      <c r="B4" s="61" t="s">
        <v>122</v>
      </c>
      <c r="C4" s="31">
        <v>10</v>
      </c>
      <c r="D4" s="31">
        <v>10</v>
      </c>
      <c r="E4" s="31">
        <v>10</v>
      </c>
      <c r="F4" s="31">
        <v>10</v>
      </c>
      <c r="G4" s="31">
        <v>10</v>
      </c>
      <c r="H4" s="31">
        <v>10</v>
      </c>
      <c r="I4" s="31">
        <v>10</v>
      </c>
      <c r="J4" s="31">
        <v>10</v>
      </c>
      <c r="K4" s="31">
        <v>10</v>
      </c>
      <c r="N4">
        <v>2</v>
      </c>
      <c r="O4" s="93">
        <f t="shared" ref="O4:O6" si="1">(O$8*B10)/20</f>
        <v>3.5506559025</v>
      </c>
      <c r="P4" s="93">
        <f t="shared" si="0"/>
        <v>1.5926900582500001</v>
      </c>
      <c r="Q4" s="93">
        <f t="shared" si="0"/>
        <v>3.2381745574999998</v>
      </c>
      <c r="R4" s="93">
        <f t="shared" si="0"/>
        <v>5.0467018225000002</v>
      </c>
      <c r="S4" s="93">
        <f t="shared" si="0"/>
        <v>7.4614404750000007</v>
      </c>
      <c r="T4" s="93">
        <f t="shared" si="0"/>
        <v>2.9361227525000002</v>
      </c>
      <c r="U4" s="93">
        <f t="shared" si="0"/>
        <v>2.7337566799999999</v>
      </c>
      <c r="V4" s="93">
        <f t="shared" si="0"/>
        <v>10.1423197275</v>
      </c>
      <c r="W4" s="93">
        <f t="shared" si="0"/>
        <v>3.7241011400000006</v>
      </c>
      <c r="X4" s="93">
        <f t="shared" si="0"/>
        <v>4.4538796249999999</v>
      </c>
    </row>
    <row r="5" spans="1:24" x14ac:dyDescent="0.25">
      <c r="A5">
        <v>4</v>
      </c>
      <c r="B5" s="62" t="s">
        <v>123</v>
      </c>
      <c r="C5" s="30">
        <v>15</v>
      </c>
      <c r="D5" s="30">
        <v>15</v>
      </c>
      <c r="E5" s="30">
        <v>15</v>
      </c>
      <c r="F5" s="30">
        <v>15</v>
      </c>
      <c r="G5" s="30">
        <v>15</v>
      </c>
      <c r="H5" s="30">
        <v>15</v>
      </c>
      <c r="I5" s="30">
        <v>15</v>
      </c>
      <c r="J5" s="30">
        <v>15</v>
      </c>
      <c r="K5" s="30">
        <v>15</v>
      </c>
      <c r="N5">
        <v>3</v>
      </c>
      <c r="O5" s="93">
        <f t="shared" si="1"/>
        <v>7.1013118049999999</v>
      </c>
      <c r="P5" s="93">
        <f t="shared" si="0"/>
        <v>3.1853801165000002</v>
      </c>
      <c r="Q5" s="93">
        <f t="shared" si="0"/>
        <v>6.4763491149999997</v>
      </c>
      <c r="R5" s="93">
        <f t="shared" si="0"/>
        <v>10.093403645</v>
      </c>
      <c r="S5" s="93">
        <f t="shared" si="0"/>
        <v>14.922880950000001</v>
      </c>
      <c r="T5" s="93">
        <f t="shared" si="0"/>
        <v>5.8722455050000004</v>
      </c>
      <c r="U5" s="93">
        <f t="shared" si="0"/>
        <v>5.4675133599999999</v>
      </c>
      <c r="V5" s="93">
        <f t="shared" si="0"/>
        <v>20.284639455000001</v>
      </c>
      <c r="W5" s="93">
        <f t="shared" si="0"/>
        <v>7.4482022800000012</v>
      </c>
      <c r="X5" s="93">
        <f t="shared" si="0"/>
        <v>8.9077592499999998</v>
      </c>
    </row>
    <row r="6" spans="1:24" x14ac:dyDescent="0.25">
      <c r="A6">
        <v>5</v>
      </c>
      <c r="B6" s="63" t="s">
        <v>124</v>
      </c>
      <c r="C6" s="29">
        <v>18</v>
      </c>
      <c r="D6" s="29">
        <v>18</v>
      </c>
      <c r="E6" s="29">
        <v>18</v>
      </c>
      <c r="F6" s="29">
        <v>18</v>
      </c>
      <c r="G6" s="29">
        <v>18</v>
      </c>
      <c r="H6" s="29">
        <v>18</v>
      </c>
      <c r="I6" s="29">
        <v>18</v>
      </c>
      <c r="J6" s="29">
        <v>18</v>
      </c>
      <c r="K6" s="29">
        <v>18</v>
      </c>
      <c r="N6">
        <v>4</v>
      </c>
      <c r="O6" s="93">
        <f t="shared" si="1"/>
        <v>10.651967707500001</v>
      </c>
      <c r="P6" s="93">
        <f t="shared" si="0"/>
        <v>4.7780701747500007</v>
      </c>
      <c r="Q6" s="93">
        <f t="shared" si="0"/>
        <v>9.7145236724999986</v>
      </c>
      <c r="R6" s="93">
        <f t="shared" si="0"/>
        <v>15.140105467500002</v>
      </c>
      <c r="S6" s="93">
        <f t="shared" si="0"/>
        <v>22.384321425</v>
      </c>
      <c r="T6" s="93">
        <f t="shared" si="0"/>
        <v>8.8083682575000015</v>
      </c>
      <c r="U6" s="93">
        <f t="shared" si="0"/>
        <v>8.2012700400000007</v>
      </c>
      <c r="V6" s="93">
        <f t="shared" si="0"/>
        <v>30.426959182500003</v>
      </c>
      <c r="W6" s="93">
        <f t="shared" si="0"/>
        <v>11.17230342</v>
      </c>
      <c r="X6" s="93">
        <f t="shared" si="0"/>
        <v>13.361638875000001</v>
      </c>
    </row>
    <row r="7" spans="1:24" x14ac:dyDescent="0.25">
      <c r="A7">
        <v>6</v>
      </c>
      <c r="B7" s="64" t="s">
        <v>125</v>
      </c>
      <c r="N7">
        <v>5</v>
      </c>
      <c r="O7" s="93">
        <f>(O$8*B13)/20</f>
        <v>12.782361249000001</v>
      </c>
      <c r="P7" s="93">
        <f t="shared" si="0"/>
        <v>5.7336842096999998</v>
      </c>
      <c r="Q7" s="93">
        <f t="shared" si="0"/>
        <v>11.657428406999999</v>
      </c>
      <c r="R7" s="93">
        <f t="shared" si="0"/>
        <v>18.168126561000001</v>
      </c>
      <c r="S7" s="93">
        <f t="shared" si="0"/>
        <v>26.861185710000001</v>
      </c>
      <c r="T7" s="93">
        <f t="shared" si="0"/>
        <v>10.570041909</v>
      </c>
      <c r="U7" s="93">
        <f t="shared" si="0"/>
        <v>9.8415240480000001</v>
      </c>
      <c r="V7" s="93">
        <f t="shared" si="0"/>
        <v>36.512351019</v>
      </c>
      <c r="W7" s="93">
        <f t="shared" si="0"/>
        <v>13.406764104000001</v>
      </c>
      <c r="X7" s="93">
        <f t="shared" si="0"/>
        <v>16.03396665</v>
      </c>
    </row>
    <row r="8" spans="1:24" x14ac:dyDescent="0.25">
      <c r="N8">
        <v>6</v>
      </c>
      <c r="O8" s="92">
        <v>14.20262361</v>
      </c>
      <c r="P8" s="92">
        <v>6.3707602330000004</v>
      </c>
      <c r="Q8" s="92">
        <v>12.952698229999999</v>
      </c>
      <c r="R8" s="92">
        <v>20.186807290000001</v>
      </c>
      <c r="S8" s="92">
        <v>29.845761899999999</v>
      </c>
      <c r="T8" s="92">
        <v>11.744491010000001</v>
      </c>
      <c r="U8" s="92">
        <v>10.93502672</v>
      </c>
      <c r="V8" s="92">
        <v>40.569278910000001</v>
      </c>
      <c r="W8" s="92">
        <v>14.896404560000001</v>
      </c>
      <c r="X8" s="92">
        <v>17.8155185</v>
      </c>
    </row>
    <row r="9" spans="1:24" x14ac:dyDescent="0.25">
      <c r="B9" s="25">
        <v>2</v>
      </c>
    </row>
    <row r="10" spans="1:24" x14ac:dyDescent="0.25">
      <c r="B10" s="32">
        <v>5</v>
      </c>
      <c r="O10" s="103" t="s">
        <v>291</v>
      </c>
      <c r="P10" s="103"/>
      <c r="Q10" s="103"/>
      <c r="R10" s="103"/>
      <c r="S10" s="103"/>
      <c r="T10" s="103"/>
      <c r="U10" s="103"/>
      <c r="V10" s="103"/>
      <c r="W10" s="103"/>
      <c r="X10" s="103"/>
    </row>
    <row r="11" spans="1:24" x14ac:dyDescent="0.25">
      <c r="B11" s="31">
        <v>10</v>
      </c>
      <c r="O11" s="1" t="s">
        <v>110</v>
      </c>
      <c r="P11" s="1" t="s">
        <v>111</v>
      </c>
      <c r="Q11" s="1" t="s">
        <v>112</v>
      </c>
      <c r="R11" s="1" t="s">
        <v>113</v>
      </c>
      <c r="S11" s="1" t="s">
        <v>114</v>
      </c>
      <c r="T11" s="1" t="s">
        <v>115</v>
      </c>
      <c r="U11" s="1" t="s">
        <v>116</v>
      </c>
      <c r="V11" s="1" t="s">
        <v>117</v>
      </c>
      <c r="W11" s="1" t="s">
        <v>118</v>
      </c>
      <c r="X11" s="1" t="s">
        <v>119</v>
      </c>
    </row>
    <row r="12" spans="1:24" x14ac:dyDescent="0.25">
      <c r="B12" s="30">
        <v>15</v>
      </c>
      <c r="N12">
        <v>1</v>
      </c>
      <c r="O12" s="93">
        <f>(O$17*B9)/20</f>
        <v>2.6809090000000002</v>
      </c>
      <c r="P12" s="93">
        <f t="shared" ref="P12:X16" si="2">(P$17*C2)/20</f>
        <v>2.2230110000000001</v>
      </c>
      <c r="Q12" s="93">
        <f t="shared" si="2"/>
        <v>2.6262180000000002</v>
      </c>
      <c r="R12" s="93">
        <f t="shared" si="2"/>
        <v>2.182159</v>
      </c>
      <c r="S12" s="93">
        <f t="shared" si="2"/>
        <v>4.8107489999999995</v>
      </c>
      <c r="T12" s="93">
        <f t="shared" si="2"/>
        <v>2.590916</v>
      </c>
      <c r="U12" s="93">
        <f t="shared" si="2"/>
        <v>2.3305199999999999</v>
      </c>
      <c r="V12" s="93">
        <f t="shared" si="2"/>
        <v>2.1715869999999997</v>
      </c>
      <c r="W12" s="93">
        <f t="shared" si="2"/>
        <v>2.4818930000000003</v>
      </c>
      <c r="X12" s="93">
        <f t="shared" si="2"/>
        <v>2.1919709999999997</v>
      </c>
    </row>
    <row r="13" spans="1:24" x14ac:dyDescent="0.25">
      <c r="B13" s="29">
        <v>18</v>
      </c>
      <c r="N13">
        <v>2</v>
      </c>
      <c r="O13" s="93">
        <f t="shared" ref="O13:O15" si="3">(O$17*B10)/20</f>
        <v>6.7022725000000012</v>
      </c>
      <c r="P13" s="93">
        <f t="shared" si="2"/>
        <v>5.5575275</v>
      </c>
      <c r="Q13" s="93">
        <f t="shared" si="2"/>
        <v>6.5655450000000002</v>
      </c>
      <c r="R13" s="93">
        <f t="shared" si="2"/>
        <v>5.4553975000000001</v>
      </c>
      <c r="S13" s="93">
        <f t="shared" si="2"/>
        <v>12.0268725</v>
      </c>
      <c r="T13" s="93">
        <f t="shared" si="2"/>
        <v>6.4772899999999991</v>
      </c>
      <c r="U13" s="93">
        <f t="shared" si="2"/>
        <v>5.8262999999999998</v>
      </c>
      <c r="V13" s="93">
        <f t="shared" si="2"/>
        <v>5.4289674999999997</v>
      </c>
      <c r="W13" s="93">
        <f t="shared" si="2"/>
        <v>6.2047325000000004</v>
      </c>
      <c r="X13" s="93">
        <f t="shared" si="2"/>
        <v>5.4799274999999996</v>
      </c>
    </row>
    <row r="14" spans="1:24" x14ac:dyDescent="0.25">
      <c r="N14">
        <v>3</v>
      </c>
      <c r="O14" s="93">
        <f t="shared" si="3"/>
        <v>13.404545000000002</v>
      </c>
      <c r="P14" s="93">
        <f t="shared" si="2"/>
        <v>11.115055</v>
      </c>
      <c r="Q14" s="93">
        <f t="shared" si="2"/>
        <v>13.13109</v>
      </c>
      <c r="R14" s="93">
        <f t="shared" si="2"/>
        <v>10.910795</v>
      </c>
      <c r="S14" s="93">
        <f t="shared" si="2"/>
        <v>24.053744999999999</v>
      </c>
      <c r="T14" s="93">
        <f t="shared" si="2"/>
        <v>12.954579999999998</v>
      </c>
      <c r="U14" s="93">
        <f t="shared" si="2"/>
        <v>11.6526</v>
      </c>
      <c r="V14" s="93">
        <f t="shared" si="2"/>
        <v>10.857934999999999</v>
      </c>
      <c r="W14" s="93">
        <f t="shared" si="2"/>
        <v>12.409465000000001</v>
      </c>
      <c r="X14" s="93">
        <f t="shared" si="2"/>
        <v>10.959854999999999</v>
      </c>
    </row>
    <row r="15" spans="1:24" x14ac:dyDescent="0.25">
      <c r="N15">
        <v>4</v>
      </c>
      <c r="O15" s="93">
        <f t="shared" si="3"/>
        <v>20.106817499999998</v>
      </c>
      <c r="P15" s="93">
        <f t="shared" si="2"/>
        <v>16.672582499999997</v>
      </c>
      <c r="Q15" s="93">
        <f t="shared" si="2"/>
        <v>19.696635000000001</v>
      </c>
      <c r="R15" s="93">
        <f t="shared" si="2"/>
        <v>16.3661925</v>
      </c>
      <c r="S15" s="93">
        <f t="shared" si="2"/>
        <v>36.080617500000002</v>
      </c>
      <c r="T15" s="93">
        <f t="shared" si="2"/>
        <v>19.43187</v>
      </c>
      <c r="U15" s="93">
        <f t="shared" si="2"/>
        <v>17.478899999999999</v>
      </c>
      <c r="V15" s="93">
        <f t="shared" si="2"/>
        <v>16.2869025</v>
      </c>
      <c r="W15" s="93">
        <f t="shared" si="2"/>
        <v>18.6141975</v>
      </c>
      <c r="X15" s="93">
        <f t="shared" si="2"/>
        <v>16.4397825</v>
      </c>
    </row>
    <row r="16" spans="1:24" x14ac:dyDescent="0.25">
      <c r="N16">
        <v>5</v>
      </c>
      <c r="O16" s="93">
        <f>(O$17*B13)/20</f>
        <v>24.128181000000001</v>
      </c>
      <c r="P16" s="93">
        <f t="shared" si="2"/>
        <v>20.007099</v>
      </c>
      <c r="Q16" s="93">
        <f t="shared" si="2"/>
        <v>23.635961999999999</v>
      </c>
      <c r="R16" s="93">
        <f t="shared" si="2"/>
        <v>19.639431000000002</v>
      </c>
      <c r="S16" s="93">
        <f t="shared" si="2"/>
        <v>43.296740999999997</v>
      </c>
      <c r="T16" s="93">
        <f t="shared" si="2"/>
        <v>23.318244</v>
      </c>
      <c r="U16" s="93">
        <f t="shared" si="2"/>
        <v>20.974679999999999</v>
      </c>
      <c r="V16" s="93">
        <f t="shared" si="2"/>
        <v>19.544283</v>
      </c>
      <c r="W16" s="93">
        <f t="shared" si="2"/>
        <v>22.337037000000002</v>
      </c>
      <c r="X16" s="93">
        <f t="shared" si="2"/>
        <v>19.727739</v>
      </c>
    </row>
    <row r="17" spans="14:24" x14ac:dyDescent="0.25">
      <c r="N17">
        <v>6</v>
      </c>
      <c r="O17" s="92">
        <v>26.809090000000001</v>
      </c>
      <c r="P17" s="92">
        <v>22.23011</v>
      </c>
      <c r="Q17" s="92">
        <v>26.262180000000001</v>
      </c>
      <c r="R17" s="92">
        <v>21.82159</v>
      </c>
      <c r="S17" s="92">
        <v>48.107489999999999</v>
      </c>
      <c r="T17" s="92">
        <v>25.90916</v>
      </c>
      <c r="U17" s="92">
        <v>23.305199999999999</v>
      </c>
      <c r="V17" s="92">
        <v>21.715869999999999</v>
      </c>
      <c r="W17" s="92">
        <v>24.818930000000002</v>
      </c>
      <c r="X17" s="92">
        <v>21.919709999999998</v>
      </c>
    </row>
    <row r="19" spans="14:24" x14ac:dyDescent="0.25">
      <c r="O19" s="103" t="s">
        <v>292</v>
      </c>
      <c r="P19" s="103"/>
      <c r="Q19" s="103"/>
      <c r="R19" s="103"/>
      <c r="S19" s="103"/>
      <c r="T19" s="103"/>
      <c r="U19" s="103"/>
      <c r="V19" s="103"/>
      <c r="W19" s="103"/>
      <c r="X19" s="103"/>
    </row>
    <row r="20" spans="14:24" x14ac:dyDescent="0.25">
      <c r="O20" s="1" t="s">
        <v>110</v>
      </c>
      <c r="P20" s="1" t="s">
        <v>111</v>
      </c>
      <c r="Q20" s="1" t="s">
        <v>112</v>
      </c>
      <c r="R20" s="1" t="s">
        <v>113</v>
      </c>
      <c r="S20" s="1" t="s">
        <v>114</v>
      </c>
      <c r="T20" s="1" t="s">
        <v>115</v>
      </c>
      <c r="U20" s="1" t="s">
        <v>116</v>
      </c>
      <c r="V20" s="1" t="s">
        <v>117</v>
      </c>
      <c r="W20" s="1" t="s">
        <v>118</v>
      </c>
      <c r="X20" s="1" t="s">
        <v>119</v>
      </c>
    </row>
    <row r="21" spans="14:24" x14ac:dyDescent="0.25">
      <c r="N21">
        <v>1</v>
      </c>
      <c r="O21" s="93">
        <f t="shared" ref="O21:O24" si="4">(O$26*B9)/20</f>
        <v>0.6011816754</v>
      </c>
      <c r="P21" s="93">
        <f t="shared" ref="P21:X25" si="5">(P$26*C2)/20</f>
        <v>0.29381500510000003</v>
      </c>
      <c r="Q21" s="93">
        <f t="shared" si="5"/>
        <v>0.1236363828</v>
      </c>
      <c r="R21" s="93">
        <f t="shared" si="5"/>
        <v>-3.0952381000000001E-2</v>
      </c>
      <c r="S21" s="93">
        <f t="shared" si="5"/>
        <v>1.1265374380000002</v>
      </c>
      <c r="T21" s="93">
        <f t="shared" si="5"/>
        <v>0.36051870359999999</v>
      </c>
      <c r="U21" s="93">
        <f t="shared" si="5"/>
        <v>0.37897043070000003</v>
      </c>
      <c r="V21" s="93">
        <f t="shared" si="5"/>
        <v>0.66497122360000005</v>
      </c>
      <c r="W21" s="93">
        <f t="shared" si="5"/>
        <v>0.2229036771</v>
      </c>
      <c r="X21" s="93">
        <f t="shared" si="5"/>
        <v>0.89468312449999998</v>
      </c>
    </row>
    <row r="22" spans="14:24" x14ac:dyDescent="0.25">
      <c r="N22">
        <v>2</v>
      </c>
      <c r="O22" s="93">
        <f t="shared" si="4"/>
        <v>1.5029541885</v>
      </c>
      <c r="P22" s="93">
        <f t="shared" si="5"/>
        <v>0.73453751275000001</v>
      </c>
      <c r="Q22" s="93">
        <f t="shared" si="5"/>
        <v>0.309090957</v>
      </c>
      <c r="R22" s="93">
        <f t="shared" si="5"/>
        <v>-7.7380952500000003E-2</v>
      </c>
      <c r="S22" s="93">
        <f t="shared" si="5"/>
        <v>2.8163435950000002</v>
      </c>
      <c r="T22" s="93">
        <f t="shared" si="5"/>
        <v>0.90129675899999984</v>
      </c>
      <c r="U22" s="93">
        <f t="shared" si="5"/>
        <v>0.94742607675000001</v>
      </c>
      <c r="V22" s="93">
        <f t="shared" si="5"/>
        <v>1.6624280590000002</v>
      </c>
      <c r="W22" s="93">
        <f t="shared" si="5"/>
        <v>0.55725919275000002</v>
      </c>
      <c r="X22" s="93">
        <f t="shared" si="5"/>
        <v>2.2367078112500001</v>
      </c>
    </row>
    <row r="23" spans="14:24" x14ac:dyDescent="0.25">
      <c r="N23">
        <v>3</v>
      </c>
      <c r="O23" s="93">
        <f t="shared" si="4"/>
        <v>3.0059083769999999</v>
      </c>
      <c r="P23" s="93">
        <f t="shared" si="5"/>
        <v>1.4690750255</v>
      </c>
      <c r="Q23" s="93">
        <f t="shared" si="5"/>
        <v>0.618181914</v>
      </c>
      <c r="R23" s="93">
        <f t="shared" si="5"/>
        <v>-0.15476190500000001</v>
      </c>
      <c r="S23" s="93">
        <f t="shared" si="5"/>
        <v>5.6326871900000004</v>
      </c>
      <c r="T23" s="93">
        <f t="shared" si="5"/>
        <v>1.8025935179999997</v>
      </c>
      <c r="U23" s="93">
        <f t="shared" si="5"/>
        <v>1.8948521535</v>
      </c>
      <c r="V23" s="93">
        <f t="shared" si="5"/>
        <v>3.3248561180000005</v>
      </c>
      <c r="W23" s="93">
        <f t="shared" si="5"/>
        <v>1.1145183855</v>
      </c>
      <c r="X23" s="93">
        <f t="shared" si="5"/>
        <v>4.4734156225000001</v>
      </c>
    </row>
    <row r="24" spans="14:24" x14ac:dyDescent="0.25">
      <c r="N24">
        <v>4</v>
      </c>
      <c r="O24" s="93">
        <f t="shared" si="4"/>
        <v>4.5088625655000003</v>
      </c>
      <c r="P24" s="93">
        <f t="shared" si="5"/>
        <v>2.2036125382499998</v>
      </c>
      <c r="Q24" s="93">
        <f t="shared" si="5"/>
        <v>0.92727287099999989</v>
      </c>
      <c r="R24" s="93">
        <f t="shared" si="5"/>
        <v>-0.23214285750000002</v>
      </c>
      <c r="S24" s="93">
        <f t="shared" si="5"/>
        <v>8.4490307850000015</v>
      </c>
      <c r="T24" s="93">
        <f t="shared" si="5"/>
        <v>2.7038902770000002</v>
      </c>
      <c r="U24" s="93">
        <f t="shared" si="5"/>
        <v>2.8422782302499998</v>
      </c>
      <c r="V24" s="93">
        <f t="shared" si="5"/>
        <v>4.9872841770000003</v>
      </c>
      <c r="W24" s="93">
        <f t="shared" si="5"/>
        <v>1.6717775782500002</v>
      </c>
      <c r="X24" s="93">
        <f t="shared" si="5"/>
        <v>6.7101234337500006</v>
      </c>
    </row>
    <row r="25" spans="14:24" x14ac:dyDescent="0.25">
      <c r="N25">
        <v>5</v>
      </c>
      <c r="O25" s="93">
        <f>(O$26*B13)/20</f>
        <v>5.4106350786000004</v>
      </c>
      <c r="P25" s="93">
        <f t="shared" si="5"/>
        <v>2.6443350459000001</v>
      </c>
      <c r="Q25" s="93">
        <f t="shared" si="5"/>
        <v>1.1127274452</v>
      </c>
      <c r="R25" s="93">
        <f t="shared" si="5"/>
        <v>-0.27857142899999998</v>
      </c>
      <c r="S25" s="93">
        <f t="shared" si="5"/>
        <v>10.138836942000001</v>
      </c>
      <c r="T25" s="93">
        <f t="shared" si="5"/>
        <v>3.2446683323999999</v>
      </c>
      <c r="U25" s="93">
        <f t="shared" si="5"/>
        <v>3.4107338763000001</v>
      </c>
      <c r="V25" s="93">
        <f t="shared" si="5"/>
        <v>5.9847410123999998</v>
      </c>
      <c r="W25" s="93">
        <f t="shared" si="5"/>
        <v>2.0061330938999999</v>
      </c>
      <c r="X25" s="93">
        <f t="shared" si="5"/>
        <v>8.0521481205000001</v>
      </c>
    </row>
    <row r="26" spans="14:24" x14ac:dyDescent="0.25">
      <c r="N26">
        <v>6</v>
      </c>
      <c r="O26" s="92">
        <v>6.0118167539999998</v>
      </c>
      <c r="P26" s="92">
        <v>2.938150051</v>
      </c>
      <c r="Q26" s="92">
        <v>1.236363828</v>
      </c>
      <c r="R26" s="92">
        <v>-0.30952381000000001</v>
      </c>
      <c r="S26" s="92">
        <v>11.265374380000001</v>
      </c>
      <c r="T26" s="92">
        <v>3.6051870359999998</v>
      </c>
      <c r="U26" s="92">
        <v>3.789704307</v>
      </c>
      <c r="V26" s="92">
        <v>6.6497122360000001</v>
      </c>
      <c r="W26" s="92">
        <v>2.2290367710000001</v>
      </c>
      <c r="X26" s="92">
        <v>8.9468312450000003</v>
      </c>
    </row>
  </sheetData>
  <mergeCells count="4">
    <mergeCell ref="O1:X1"/>
    <mergeCell ref="O10:X10"/>
    <mergeCell ref="O19:X19"/>
    <mergeCell ref="C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Calibration Curves</vt:lpstr>
      <vt:lpstr>General Plan</vt:lpstr>
      <vt:lpstr>Sample Preparation V and C</vt:lpstr>
      <vt:lpstr>Field Samples V and C</vt:lpstr>
      <vt:lpstr>Field Dillutions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North</dc:creator>
  <cp:lastModifiedBy>North, Nicole</cp:lastModifiedBy>
  <dcterms:created xsi:type="dcterms:W3CDTF">2023-03-22T14:11:39Z</dcterms:created>
  <dcterms:modified xsi:type="dcterms:W3CDTF">2024-01-18T15:16:22Z</dcterms:modified>
</cp:coreProperties>
</file>