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mtec-my.sharepoint.com/personal/elliot_eickholtz_samtec_com/Documents/Documents/GitHub/64-Stepper-Motor-Controller/PCB/32-STEPPER-DRIVER-BOARD/"/>
    </mc:Choice>
  </mc:AlternateContent>
  <xr:revisionPtr revIDLastSave="19" documentId="11_09F0E764CB7E9DE72B2F8CC3EE518094B623D3E5" xr6:coauthVersionLast="47" xr6:coauthVersionMax="47" xr10:uidLastSave="{0232A093-7967-4C2C-B30B-8D3D5D33DAC1}"/>
  <bookViews>
    <workbookView xWindow="-14445" yWindow="-16320" windowWidth="29040" windowHeight="15840" xr2:uid="{00000000-000D-0000-FFFF-FFFF00000000}"/>
  </bookViews>
  <sheets>
    <sheet name="32-STEPPER-DRIVER-BOARD" sheetId="1" r:id="rId1"/>
  </sheets>
  <definedNames>
    <definedName name="BoardQty" localSheetId="0">'32-STEPPER-DRIVER-BOARD'!$H$1</definedName>
    <definedName name="PURCHASE_DESCRIPTION" localSheetId="0">'32-STEPPER-DRIVER-BOARD'!$H$17</definedName>
    <definedName name="TotalCost" localSheetId="0">'32-STEPPER-DRIVER-BOARD'!$H$3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6" i="1" l="1" a="1"/>
  <c r="V33" i="1" s="1"/>
  <c r="P26" i="1" a="1"/>
  <c r="P26" i="1" s="1"/>
  <c r="J26" i="1" a="1"/>
  <c r="J33" i="1" s="1"/>
  <c r="Y16" i="1"/>
  <c r="V16" i="1"/>
  <c r="P16" i="1"/>
  <c r="J16" i="1"/>
  <c r="F14" i="1"/>
  <c r="W14" i="1" s="1"/>
  <c r="Y14" i="1" s="1"/>
  <c r="F13" i="1"/>
  <c r="W13" i="1" s="1"/>
  <c r="Y13" i="1" s="1"/>
  <c r="G12" i="1"/>
  <c r="F12" i="1"/>
  <c r="H12" i="1" s="1"/>
  <c r="G11" i="1"/>
  <c r="F11" i="1"/>
  <c r="H11" i="1" s="1"/>
  <c r="F10" i="1"/>
  <c r="K10" i="1" s="1"/>
  <c r="F9" i="1"/>
  <c r="K9" i="1" s="1"/>
  <c r="F8" i="1"/>
  <c r="Q8" i="1" s="1"/>
  <c r="S8" i="1" s="1"/>
  <c r="F7" i="1"/>
  <c r="Q13" i="1" l="1"/>
  <c r="S13" i="1" s="1"/>
  <c r="S16" i="1" s="1"/>
  <c r="K13" i="1"/>
  <c r="M10" i="1"/>
  <c r="Z3" i="1"/>
  <c r="Y3" i="1"/>
  <c r="M9" i="1"/>
  <c r="P27" i="1"/>
  <c r="P28" i="1"/>
  <c r="P29" i="1"/>
  <c r="P30" i="1"/>
  <c r="P31" i="1"/>
  <c r="K8" i="1"/>
  <c r="Q10" i="1"/>
  <c r="S10" i="1" s="1"/>
  <c r="K14" i="1"/>
  <c r="J26" i="1"/>
  <c r="P32" i="1"/>
  <c r="P33" i="1"/>
  <c r="Q14" i="1"/>
  <c r="S14" i="1" s="1"/>
  <c r="J27" i="1"/>
  <c r="V26" i="1"/>
  <c r="K7" i="1"/>
  <c r="J29" i="1"/>
  <c r="V27" i="1"/>
  <c r="Q9" i="1"/>
  <c r="S9" i="1" s="1"/>
  <c r="J30" i="1"/>
  <c r="V28" i="1"/>
  <c r="J28" i="1"/>
  <c r="J31" i="1"/>
  <c r="V29" i="1"/>
  <c r="J32" i="1"/>
  <c r="V30" i="1"/>
  <c r="V31" i="1"/>
  <c r="V32" i="1"/>
  <c r="P17" i="1" l="1"/>
  <c r="V17" i="1"/>
  <c r="G13" i="1"/>
  <c r="H13" i="1" s="1"/>
  <c r="T3" i="1"/>
  <c r="M13" i="1"/>
  <c r="G9" i="1"/>
  <c r="H9" i="1" s="1"/>
  <c r="S3" i="1"/>
  <c r="J17" i="1"/>
  <c r="G7" i="1"/>
  <c r="H7" i="1" s="1"/>
  <c r="M7" i="1"/>
  <c r="M14" i="1"/>
  <c r="G14" i="1"/>
  <c r="H14" i="1" s="1"/>
  <c r="G8" i="1"/>
  <c r="H8" i="1" s="1"/>
  <c r="M8" i="1"/>
  <c r="G10" i="1"/>
  <c r="H10" i="1" s="1"/>
  <c r="M16" i="1" l="1"/>
  <c r="H16" i="1" s="1"/>
  <c r="M3" i="1"/>
  <c r="N3" i="1"/>
  <c r="H3" i="1"/>
  <c r="H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 shapeId="0" xr:uid="{00000000-0006-0000-0000-000003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Z3" authorId="0" shapeId="0" xr:uid="{00000000-0006-0000-0000-000004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5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6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7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8000000}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 shapeId="0" xr:uid="{00000000-0006-0000-0000-000009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 shapeId="0" xr:uid="{00000000-0006-0000-0000-00000A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 shapeId="0" xr:uid="{00000000-0006-0000-0000-00000B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 shapeId="0" xr:uid="{00000000-0006-0000-0000-00000C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 shapeId="0" xr:uid="{00000000-0006-0000-0000-00000D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 shapeId="0" xr:uid="{00000000-0006-0000-0000-00000E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 shapeId="0" xr:uid="{00000000-0006-0000-0000-00000F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 shapeId="0" xr:uid="{00000000-0006-0000-0000-000010000000}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6" authorId="0" shapeId="0" xr:uid="{00000000-0006-0000-0000-000011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 shapeId="0" xr:uid="{00000000-0006-0000-0000-000012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 shapeId="0" xr:uid="{00000000-0006-0000-0000-000013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 shapeId="0" xr:uid="{00000000-0006-0000-0000-000014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 shapeId="0" xr:uid="{00000000-0006-0000-0000-000015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 shapeId="0" xr:uid="{00000000-0006-0000-0000-000016000000}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S6" authorId="0" shapeId="0" xr:uid="{00000000-0006-0000-0000-000017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 shapeId="0" xr:uid="{00000000-0006-0000-0000-000018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 shapeId="0" xr:uid="{00000000-0006-0000-0000-000019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 shapeId="0" xr:uid="{00000000-0006-0000-0000-00001A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 shapeId="0" xr:uid="{00000000-0006-0000-0000-00001B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 shapeId="0" xr:uid="{00000000-0006-0000-0000-00001C000000}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Y6" authorId="0" shapeId="0" xr:uid="{00000000-0006-0000-0000-00001D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Z6" authorId="0" shapeId="0" xr:uid="{00000000-0006-0000-0000-00001E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K7" authorId="0" shapeId="0" xr:uid="{00000000-0006-0000-0000-00001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$0.86      $0.86
    10   $0.65      $6.50
   100   $0.47     $46.50
   500   $0.36    $180.00
  1000   $0.31    $310.00
  2500   $0.29    $725.00
  5000   $0.28  $1,375.00</t>
        </r>
      </text>
    </comment>
    <comment ref="N7" authorId="0" shapeId="0" xr:uid="{00000000-0006-0000-0000-000020000000}">
      <text>
        <r>
          <rPr>
            <sz val="8"/>
            <color indexed="81"/>
            <rFont val="Tahoma"/>
            <family val="2"/>
          </rPr>
          <t>Desc: CAP ALUM 1000UF 20% 35V RADIAL
Footprint: Radial, Can
Size: 0.492" Dia (12.50mm)
Tolerance: ±20%
Value: 1000µF 
Voltage: 35V</t>
        </r>
      </text>
    </comment>
    <comment ref="K8" authorId="0" shapeId="0" xr:uid="{00000000-0006-0000-0000-00002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$0.86      $0.86
    10   $0.65      $6.50
   100   $0.47     $46.50
   500   $0.36    $180.00
  1000   $0.31    $310.00
  2500   $0.29    $725.00
  5000   $0.28  $1,375.00</t>
        </r>
      </text>
    </comment>
    <comment ref="N8" authorId="0" shapeId="0" xr:uid="{00000000-0006-0000-0000-000022000000}">
      <text>
        <r>
          <rPr>
            <sz val="8"/>
            <color indexed="81"/>
            <rFont val="Tahoma"/>
            <family val="2"/>
          </rPr>
          <t>Desc: CAP ALUM 1000UF 20% 35V RADIAL
Footprint: Radial, Can
Size: 0.492" Dia (12.50mm)
Tolerance: ±20%
Value: 1000µF 
Voltage: 35V</t>
        </r>
      </text>
    </comment>
    <comment ref="Q8" authorId="0" shapeId="0" xr:uid="{00000000-0006-0000-0000-00002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$9.82      $9.82
     8   $9.39     $75.12
   104   $7.89    $820.56
   256   $6.67  $1,707.52
   504   $6.28  $3,165.12
  1000   $5.84  $5,840.00</t>
        </r>
      </text>
    </comment>
    <comment ref="T8" authorId="0" shapeId="0" xr:uid="{00000000-0006-0000-0000-000024000000}">
      <text>
        <r>
          <rPr>
            <sz val="8"/>
            <color indexed="81"/>
            <rFont val="Tahoma"/>
            <family val="2"/>
          </rPr>
          <t>Desc: Standard Card Edge Connectors 2.00 mm Micro Edge Card Socket</t>
        </r>
      </text>
    </comment>
    <comment ref="K9" authorId="0" shapeId="0" xr:uid="{00000000-0006-0000-0000-00002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$9.02      $9.02
    10   $8.62     $86.24
   100   $7.25    $725.20
   500   $6.08  $3,038.00
  1000   $5.37  $5,370.40
  5000   $5.10 $25,480.00</t>
        </r>
      </text>
    </comment>
    <comment ref="N9" authorId="0" shapeId="0" xr:uid="{00000000-0006-0000-0000-000026000000}">
      <text>
        <r>
          <rPr>
            <sz val="8"/>
            <color indexed="81"/>
            <rFont val="Tahoma"/>
            <family val="2"/>
          </rPr>
          <t>Desc: CONN HEADER VERT 50POS 2.54MM</t>
        </r>
      </text>
    </comment>
    <comment ref="Q9" authorId="0" shapeId="0" xr:uid="{00000000-0006-0000-0000-00002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$12.98     $12.98
     8  $11.80     $94.40
   104   $9.79  $1,018.16
   256   $8.68  $2,222.08
   504   $8.42  $4,243.68
  1000   $7.84  $7,840.00</t>
        </r>
      </text>
    </comment>
    <comment ref="T9" authorId="0" shapeId="0" xr:uid="{00000000-0006-0000-0000-000028000000}">
      <text>
        <r>
          <rPr>
            <sz val="8"/>
            <color indexed="81"/>
            <rFont val="Tahoma"/>
            <family val="2"/>
          </rPr>
          <t>Desc: Power to the Board .100 Mini Mate Isolated Power Connector Terminal Strip</t>
        </r>
      </text>
    </comment>
    <comment ref="K10" authorId="0" shapeId="0" xr:uid="{00000000-0006-0000-0000-00002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$0.86      $0.86
    10   $0.65      $6.50
   100   $0.47     $46.50
   500   $0.36    $180.00
  1000   $0.31    $310.00
  2500   $0.29    $725.00
  5000   $0.28  $1,375.00</t>
        </r>
      </text>
    </comment>
    <comment ref="N10" authorId="0" shapeId="0" xr:uid="{00000000-0006-0000-0000-00002A000000}">
      <text>
        <r>
          <rPr>
            <sz val="8"/>
            <color indexed="81"/>
            <rFont val="Tahoma"/>
            <family val="2"/>
          </rPr>
          <t>Desc: CAP ALUM 1000UF 20% 35V RADIAL
Footprint: Radial, Can
Size: 0.492" Dia (12.50mm)
Tolerance: ±20%
Value: 1000µF 
Voltage: 35V</t>
        </r>
      </text>
    </comment>
    <comment ref="Q10" authorId="0" shapeId="0" xr:uid="{00000000-0006-0000-0000-00002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$9.61      $9.61
    10   $8.14     $81.40
   100   $7.94    $794.00
   250   $7.12  $1,780.00
   500   $6.70  $3,350.00
  1000   $6.05  $6,050.00</t>
        </r>
      </text>
    </comment>
    <comment ref="T10" authorId="0" shapeId="0" xr:uid="{00000000-0006-0000-0000-00002C000000}">
      <text>
        <r>
          <rPr>
            <sz val="8"/>
            <color indexed="81"/>
            <rFont val="Tahoma"/>
            <family val="2"/>
          </rPr>
          <t>Desc: Power to the Board</t>
        </r>
      </text>
    </comment>
    <comment ref="K13" authorId="0" shapeId="0" xr:uid="{00000000-0006-0000-0000-00002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100   $0.01      $0.84
  1000   $0.00      $3.79
  2500   $0.00      $8.22</t>
        </r>
      </text>
    </comment>
    <comment ref="N13" authorId="0" shapeId="0" xr:uid="{00000000-0006-0000-0000-00002E000000}">
      <text>
        <r>
          <rPr>
            <sz val="8"/>
            <color indexed="81"/>
            <rFont val="Tahoma"/>
            <family val="2"/>
          </rPr>
          <t>Desc: RES SMD 1K OHM 1% 1/10W 0603
Footprint: 0603 (1608 Metric)
Power: 0.1W, 1/10W
Size: 0.063" L x 0.031" W (1.60mm x 0.80mm)
Temp_coeff: ±100ppm/°C
Tolerance: ±1%</t>
        </r>
      </text>
    </comment>
    <comment ref="Q13" authorId="0" shapeId="0" xr:uid="{00000000-0006-0000-0000-00002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100   $0.01      $0.70
  1000   $0.00      $4.00
  5000   $0.00     $15.00</t>
        </r>
      </text>
    </comment>
    <comment ref="T13" authorId="0" shapeId="0" xr:uid="{00000000-0006-0000-0000-000030000000}">
      <text>
        <r>
          <rPr>
            <sz val="8"/>
            <color indexed="81"/>
            <rFont val="Tahoma"/>
            <family val="2"/>
          </rPr>
          <t>Desc: Thick Film Resistors - SMD 1 kOhms 100mW 0603 1%</t>
        </r>
      </text>
    </comment>
    <comment ref="W13" authorId="0" shapeId="0" xr:uid="{00000000-0006-0000-0000-000031000000}">
      <text>
        <r>
          <rPr>
            <sz val="8"/>
            <color indexed="81"/>
            <rFont val="Tahoma"/>
            <family val="2"/>
          </rPr>
          <t>Qty/Price Breaks (USD):
  Qty  -  Unit$  -  Ext$
================
   100   $0.01      $1.11
  1000   $0.00      $3.33
  5000   $0.00      $6.10
 15000   $0.00     $15.75
 50000   $0.00     $50.50</t>
        </r>
      </text>
    </comment>
    <comment ref="Z13" authorId="0" shapeId="0" xr:uid="{00000000-0006-0000-0000-000032000000}">
      <text>
        <r>
          <rPr>
            <sz val="8"/>
            <color indexed="81"/>
            <rFont val="Tahoma"/>
            <family val="2"/>
          </rPr>
          <t xml:space="preserve">Desc: Resistor: thick film; SMD; 0603; 1kΩ; 0.1W; ±1%; -55÷155°C
Manf: ROYAL OHM
Power: 0.1W
Temp_coeff: 100ppm/°C
Tolerance: ±1%
Value: 1kΩ </t>
        </r>
      </text>
    </comment>
    <comment ref="K14" authorId="0" shapeId="0" xr:uid="{00000000-0006-0000-0000-00003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$0.51      $0.51
    10   $0.44      $4.39
    25   $0.41     $10.24
   100   $0.33     $32.77
   250   $0.30     $76.07
   500   $0.26    $128.73
  1000   $0.20    $198.94
  2500   $0.18    $453.47
  5000   $0.17    $848.40</t>
        </r>
      </text>
    </comment>
    <comment ref="N14" authorId="0" shapeId="0" xr:uid="{00000000-0006-0000-0000-000034000000}">
      <text>
        <r>
          <rPr>
            <sz val="8"/>
            <color indexed="81"/>
            <rFont val="Tahoma"/>
            <family val="2"/>
          </rPr>
          <t>Desc: IC SHIFT REGISTER 8BIT 16-TSSOP
Footprint: 16-TSSOP (0.173", 4.40mm Width)</t>
        </r>
      </text>
    </comment>
    <comment ref="Q14" authorId="0" shapeId="0" xr:uid="{00000000-0006-0000-0000-00003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$0.69      $0.69
    10   $0.57      $5.70
    96   $0.46     $44.54
   288   $0.43    $124.13
   576   $0.37    $211.39
  1056   $0.29    $309.41
  2592   $0.27    $694.66
  4704   $0.25  $1,180.70
  9408   $0.24  $2,276.74</t>
        </r>
      </text>
    </comment>
    <comment ref="T14" authorId="0" shapeId="0" xr:uid="{00000000-0006-0000-0000-000036000000}">
      <text>
        <r>
          <rPr>
            <sz val="8"/>
            <color indexed="81"/>
            <rFont val="Tahoma"/>
            <family val="2"/>
          </rPr>
          <t>Desc: Counter Shift Registers 8-Bit 3 State Shift</t>
        </r>
      </text>
    </comment>
    <comment ref="W14" authorId="0" shapeId="0" xr:uid="{00000000-0006-0000-0000-000037000000}">
      <text>
        <r>
          <rPr>
            <sz val="8"/>
            <color indexed="81"/>
            <rFont val="Tahoma"/>
            <family val="2"/>
          </rPr>
          <t>Qty/Price Breaks (USD):
  Qty  -  Unit$  -  Ext$
================
     5   $0.39      $1.96
    25   $0.36      $8.89
    96   $0.32     $30.46
   480   $0.26    $124.80</t>
        </r>
      </text>
    </comment>
    <comment ref="Z14" authorId="0" shapeId="0" xr:uid="{00000000-0006-0000-0000-000038000000}">
      <text>
        <r>
          <rPr>
            <sz val="8"/>
            <color indexed="81"/>
            <rFont val="Tahoma"/>
            <family val="2"/>
          </rPr>
          <t>Desc: IC: digital; shift register,serial to serial/parallel; Ch: 1; SMD
Manf: ONSEMI</t>
        </r>
      </text>
    </comment>
    <comment ref="G16" authorId="0" shapeId="0" xr:uid="{00000000-0006-0000-0000-000039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16" authorId="0" shapeId="0" xr:uid="{00000000-0006-0000-0000-00003A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16" authorId="0" shapeId="0" xr:uid="{00000000-0006-0000-0000-00003B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16" authorId="0" shapeId="0" xr:uid="{00000000-0006-0000-0000-00003C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17" authorId="0" shapeId="0" xr:uid="{00000000-0006-0000-0000-00003D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<sst xmlns="http://schemas.openxmlformats.org/spreadsheetml/2006/main" count="92" uniqueCount="71">
  <si>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</si>
  <si>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</si>
  <si>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</si>
  <si>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</si>
  <si>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</si>
  <si>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</si>
  <si>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</si>
  <si>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</si>
  <si>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</si>
  <si>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D1-D4,D6-D10,D12-D16,D18-D22,D24,D25,D27-D31,D33-D37,D39-D43,D45-D52,D54-D58,D60-D64,D66-D70,D72,D73,D75-D79,D81-D85,D87-D91,D93-D100,D102-D106,D108-D112,D114-D118,D120,D121,D123-D127,D129-D133,D135-D139,D141-D148,D150-D154,D156-D160,D162-D166,D168-D172,D174-D178,D180-D184,D186-D190,D192</t>
  </si>
  <si>
    <t>LED</t>
  </si>
  <si>
    <t>LED_0603_1608Metric</t>
  </si>
  <si>
    <t>B1931NB--20C007614U1930</t>
  </si>
  <si>
    <t>J1-J4</t>
  </si>
  <si>
    <t>MEC2-30-01-X-TH1-NP-WT</t>
  </si>
  <si>
    <t>SAMTEC_MEC2-30-01-X-TH1-NP-WT</t>
  </si>
  <si>
    <t>Samtec</t>
  </si>
  <si>
    <t>MEC2-30-01-L-TH1-NP-WT</t>
  </si>
  <si>
    <t>J5</t>
  </si>
  <si>
    <t>IPS1-125-01-S-D</t>
  </si>
  <si>
    <t>SAMTEC_IPS1-125-01-S-D</t>
  </si>
  <si>
    <t>IPT1-125-01-S-D</t>
  </si>
  <si>
    <t>J6</t>
  </si>
  <si>
    <t>UMPT-06-01-X-RA-WT-P-X</t>
  </si>
  <si>
    <t>SAMTEC_UMPT-06-01-X-RA-WT-P-X</t>
  </si>
  <si>
    <t>UMPT-06-01-L-RA-WT-P-TR</t>
  </si>
  <si>
    <t>J7-J10</t>
  </si>
  <si>
    <t>Screw_Terminal_01x01</t>
  </si>
  <si>
    <t>MountingHole_2.2mm_M2_Pad</t>
  </si>
  <si>
    <t>JP1,JP2</t>
  </si>
  <si>
    <t>SolderJumper_2_Open</t>
  </si>
  <si>
    <t>SolderJumper-2_P1.3mm_Open_RoundedPad1.0x1.5mm</t>
  </si>
  <si>
    <t>R1-R4,R6-R10,R12-R16,R18-R22,R24,R25,R27-R31,R33-R37,R39-R43,R45-R52,R54-R58,R60-R64,R66-R70,R72,R73,R75-R79,R81-R85,R87-R91,R93-R100,R102-R106,R108-R112,R114-R118,R120,R121,R123-R127,R129-R133,R135-R139,R141-R148,R150-R154,R156-R160,R162-R166,R168-R172,R174-R178,R180-R184,R186-R190,R192</t>
  </si>
  <si>
    <t>R</t>
  </si>
  <si>
    <t>R_0603_1608Metric</t>
  </si>
  <si>
    <t>RC0603FR-071KL</t>
  </si>
  <si>
    <t>U1-U7,U9-U21</t>
  </si>
  <si>
    <t>74HC595</t>
  </si>
  <si>
    <t>TSSOP-16_4.4x5mm_P0.65mm</t>
  </si>
  <si>
    <t>MC74HC595ADTG</t>
  </si>
  <si>
    <t>Digi-Key</t>
  </si>
  <si>
    <t>Avail</t>
  </si>
  <si>
    <t>Purch</t>
  </si>
  <si>
    <t>MOQ</t>
  </si>
  <si>
    <t>Cat#</t>
  </si>
  <si>
    <t>P5555-ND</t>
  </si>
  <si>
    <t>SAM8112-ND</t>
  </si>
  <si>
    <t>311-1.00KHRCT-ND</t>
  </si>
  <si>
    <t>MC74HC595ADTGOS-ND</t>
  </si>
  <si>
    <t>Buy here</t>
  </si>
  <si>
    <t>Mouser</t>
  </si>
  <si>
    <t>200-MEC23001LTH1NPWT</t>
  </si>
  <si>
    <t>200-IPT112501SD</t>
  </si>
  <si>
    <t>200-UMPT0601LRAWTPTR</t>
  </si>
  <si>
    <t>603-RC0603FR-071KL</t>
  </si>
  <si>
    <t>863-MC74HC595ADTG</t>
  </si>
  <si>
    <t>TME</t>
  </si>
  <si>
    <t>SMD0603-1K-1%</t>
  </si>
  <si>
    <t>Total Purchase:</t>
  </si>
  <si>
    <t>Purchase description:</t>
  </si>
  <si>
    <t>Prj:</t>
  </si>
  <si>
    <t>32-STEPPER-DRIVER-BOARD.xml</t>
  </si>
  <si>
    <t>Co.:</t>
  </si>
  <si>
    <t>Prj date:</t>
  </si>
  <si>
    <t>12/19/2022 12:13:00 PM</t>
  </si>
  <si>
    <t>Board Qty:</t>
  </si>
  <si>
    <t>Total Cost:</t>
  </si>
  <si>
    <t>Unit Cost:</t>
  </si>
  <si>
    <t>$ date:</t>
  </si>
  <si>
    <t>2022-12-19 12:18:55</t>
  </si>
  <si>
    <t>KiCost® v1.1.12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</si>
</sst>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#,##0.000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/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86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dustrial.panasonic.com/cdbs/www-data/pdf/RDF0000/ABA0000C1215.pdf" TargetMode="External"/><Relationship Id="rId13" Type="http://schemas.openxmlformats.org/officeDocument/2006/relationships/hyperlink" Target="file:///\\www.tme.eu\en\details\smd0603-1k-1%2525\smd-resistors\royal-ohm\0603saf1001t5e\" TargetMode="External"/><Relationship Id="rId18" Type="http://schemas.openxmlformats.org/officeDocument/2006/relationships/hyperlink" Target="https://www.digikey.com/ordering/shoppingcart" TargetMode="External"/><Relationship Id="rId3" Type="http://schemas.openxmlformats.org/officeDocument/2006/relationships/hyperlink" Target="https://www.digikey.com/product-detail/en/panasonic-electronic-components/ECA-1VHG102/P5555-ND/245154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www.mouser.com/ProductDetail/Samtec/IPT1-125-01-S-D?qs=fnpEE5GccuOKtNLfJtObdQ%3D%3D" TargetMode="External"/><Relationship Id="rId12" Type="http://schemas.openxmlformats.org/officeDocument/2006/relationships/hyperlink" Target="https://www.mouser.com/ProductDetail/YAGEO/RC0603FR-071KL?qs=VU8sRB4EgwApHsk4rF%2F3zg%3D%3D" TargetMode="External"/><Relationship Id="rId17" Type="http://schemas.openxmlformats.org/officeDocument/2006/relationships/hyperlink" Target="file:///\\www.tme.eu\en\details\mc74hc595adtg\shift-registers\onsemi\" TargetMode="External"/><Relationship Id="rId2" Type="http://schemas.openxmlformats.org/officeDocument/2006/relationships/hyperlink" Target="https://industrial.panasonic.com/cdbs/www-data/pdf/RDF0000/ABA0000C1215.pdf" TargetMode="External"/><Relationship Id="rId16" Type="http://schemas.openxmlformats.org/officeDocument/2006/relationships/hyperlink" Target="https://www.mouser.com/ProductDetail/onsemi/MC74HC595ADTG?qs=qg33o%252B8vzFqSfcAj9bXV3g%3D%3D" TargetMode="External"/><Relationship Id="rId20" Type="http://schemas.openxmlformats.org/officeDocument/2006/relationships/hyperlink" Target="https://www.tme.eu/en/Profile/QuickBuy/load.html" TargetMode="External"/><Relationship Id="rId1" Type="http://schemas.openxmlformats.org/officeDocument/2006/relationships/hyperlink" Target="https://www.digikey.com/product-detail/en/panasonic-electronic-components/ECA-1VHG102/P5555-ND/245154" TargetMode="External"/><Relationship Id="rId6" Type="http://schemas.openxmlformats.org/officeDocument/2006/relationships/hyperlink" Target="https://www.digikey.com/en/products/detail/samtec-inc/IPT1-125-01-S-D/1110468" TargetMode="External"/><Relationship Id="rId11" Type="http://schemas.openxmlformats.org/officeDocument/2006/relationships/hyperlink" Target="https://www.digikey.com/en/products/detail/yageo/RC0603FR-071KL/726843" TargetMode="External"/><Relationship Id="rId5" Type="http://schemas.openxmlformats.org/officeDocument/2006/relationships/hyperlink" Target="https://suddendocs.samtec.com/catalog_english/ipt1.pdf" TargetMode="External"/><Relationship Id="rId15" Type="http://schemas.openxmlformats.org/officeDocument/2006/relationships/hyperlink" Target="https://www.digikey.com/en/products/detail/on-semiconductor/MC74HC595ADTG/1480112" TargetMode="External"/><Relationship Id="rId10" Type="http://schemas.openxmlformats.org/officeDocument/2006/relationships/hyperlink" Target="https://www.mouser.com/ProductDetail/Samtec/UMPT-06-01-L-RA-WT-P-TR?qs=e8oIoAS2J1TrBAKmLEWGBQ%3D%3D" TargetMode="External"/><Relationship Id="rId19" Type="http://schemas.openxmlformats.org/officeDocument/2006/relationships/hyperlink" Target="https://mouser.com/bom/" TargetMode="External"/><Relationship Id="rId4" Type="http://schemas.openxmlformats.org/officeDocument/2006/relationships/hyperlink" Target="https://www.mouser.com/ProductDetail/Samtec/MEC2-30-01-L-TH1-NP-WT?qs=icabnvfcbsFDRO5cSw3K3g%3D%3D" TargetMode="External"/><Relationship Id="rId9" Type="http://schemas.openxmlformats.org/officeDocument/2006/relationships/hyperlink" Target="https://www.digikey.com/product-detail/en/panasonic-electronic-components/ECA-1VHG102/P5555-ND/245154" TargetMode="External"/><Relationship Id="rId14" Type="http://schemas.openxmlformats.org/officeDocument/2006/relationships/hyperlink" Target="http://www.ti.com/lit/ds/symlink/sn74hc595.pdf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zoomScale="85" zoomScaleNormal="85" workbookViewId="0">
      <pane xSplit="8" ySplit="6" topLeftCell="I12" activePane="bottomRight" state="frozen"/>
      <selection pane="topRight" activeCell="I1" sqref="I1"/>
      <selection pane="bottomLeft" activeCell="A7" sqref="A7"/>
      <selection pane="bottomRight" activeCell="E22" sqref="E22"/>
    </sheetView>
  </sheetViews>
  <sheetFormatPr defaultRowHeight="14.4" outlineLevelCol="3" x14ac:dyDescent="0.3"/>
  <cols>
    <col min="1" max="1" width="33.6640625" customWidth="1"/>
    <col min="2" max="2" width="23.6640625" customWidth="1"/>
    <col min="3" max="3" width="33.6640625" customWidth="1" outlineLevel="2"/>
    <col min="4" max="4" width="9.109375" outlineLevel="1"/>
    <col min="5" max="5" width="24.6640625" customWidth="1" outlineLevel="1"/>
    <col min="6" max="6" width="9.109375" outlineLevel="1"/>
    <col min="7" max="7" width="22.6640625" customWidth="1"/>
    <col min="8" max="8" width="16.6640625" customWidth="1"/>
    <col min="9" max="9" width="9.6640625" customWidth="1" outlineLevel="1"/>
    <col min="10" max="10" width="9.109375" outlineLevel="2"/>
    <col min="11" max="11" width="10.6640625" customWidth="1" outlineLevel="2"/>
    <col min="12" max="12" width="0" hidden="1" customWidth="1" outlineLevel="3" collapsed="1"/>
    <col min="13" max="13" width="16.6640625" customWidth="1"/>
    <col min="14" max="14" width="19.6640625" customWidth="1" outlineLevel="2"/>
    <col min="15" max="15" width="9.6640625" customWidth="1" outlineLevel="1"/>
    <col min="16" max="16" width="9.109375" outlineLevel="2"/>
    <col min="17" max="17" width="10.6640625" customWidth="1" outlineLevel="2"/>
    <col min="18" max="18" width="0" hidden="1" customWidth="1" outlineLevel="3" collapsed="1"/>
    <col min="19" max="19" width="16.6640625" customWidth="1"/>
    <col min="20" max="20" width="21.6640625" customWidth="1" outlineLevel="2"/>
    <col min="21" max="21" width="9.6640625" customWidth="1" outlineLevel="1"/>
    <col min="22" max="22" width="9.109375" outlineLevel="2"/>
    <col min="23" max="23" width="10.6640625" customWidth="1" outlineLevel="2"/>
    <col min="24" max="24" width="0" hidden="1" customWidth="1" outlineLevel="3" collapsed="1"/>
    <col min="25" max="25" width="16.6640625" customWidth="1"/>
    <col min="26" max="26" width="16.6640625" customWidth="1" outlineLevel="2"/>
  </cols>
  <sheetData>
    <row r="1" spans="1:26" ht="17.399999999999999" x14ac:dyDescent="0.35">
      <c r="A1" s="1" t="s">
        <v>60</v>
      </c>
      <c r="B1" s="2" t="s">
        <v>61</v>
      </c>
      <c r="G1" s="3" t="s">
        <v>65</v>
      </c>
      <c r="H1" s="3">
        <v>1</v>
      </c>
    </row>
    <row r="2" spans="1:26" ht="17.399999999999999" x14ac:dyDescent="0.3">
      <c r="A2" s="1" t="s">
        <v>62</v>
      </c>
      <c r="B2" s="2"/>
      <c r="G2" s="1" t="s">
        <v>67</v>
      </c>
      <c r="H2" s="4">
        <f>TotalCost/BoardQty</f>
        <v>96.671999999999997</v>
      </c>
    </row>
    <row r="3" spans="1:26" ht="17.399999999999999" x14ac:dyDescent="0.3">
      <c r="A3" s="1" t="s">
        <v>63</v>
      </c>
      <c r="B3" s="2" t="s">
        <v>64</v>
      </c>
      <c r="G3" s="1" t="s">
        <v>66</v>
      </c>
      <c r="H3" s="5">
        <f>SUM(H7:H14)</f>
        <v>96.671999999999997</v>
      </c>
      <c r="M3" s="5">
        <f>SUM(M7:M14)</f>
        <v>97.843999999999994</v>
      </c>
      <c r="N3" s="6" t="str">
        <f>(COUNTA(M7:M14)&amp;" of "&amp;ROWS(M7:M14)&amp;" parts found")</f>
        <v>6 of 8 parts found</v>
      </c>
      <c r="S3" s="5">
        <f>SUM(S7:S14)</f>
        <v>74.39</v>
      </c>
      <c r="T3" s="6" t="str">
        <f>(COUNTA(S7:S14)&amp;" of "&amp;ROWS(S7:S14)&amp;" parts found")</f>
        <v>5 of 8 parts found</v>
      </c>
      <c r="Y3" s="5">
        <f>SUM(Y7:Y14)</f>
        <v>9.6112000000000002</v>
      </c>
      <c r="Z3" s="6" t="str">
        <f>(COUNTA(Y7:Y14)&amp;" of "&amp;ROWS(Y7:Y14)&amp;" parts found")</f>
        <v>2 of 8 parts found</v>
      </c>
    </row>
    <row r="4" spans="1:26" ht="17.399999999999999" x14ac:dyDescent="0.3">
      <c r="A4" s="1" t="s">
        <v>68</v>
      </c>
      <c r="B4" s="2" t="s">
        <v>69</v>
      </c>
    </row>
    <row r="5" spans="1:26" ht="18" x14ac:dyDescent="0.3">
      <c r="A5" s="13" t="s">
        <v>0</v>
      </c>
      <c r="B5" s="13"/>
      <c r="C5" s="13"/>
      <c r="D5" s="13"/>
      <c r="E5" s="13"/>
      <c r="F5" s="13"/>
      <c r="G5" s="13"/>
      <c r="H5" s="13"/>
      <c r="I5" s="14" t="s">
        <v>40</v>
      </c>
      <c r="J5" s="14"/>
      <c r="K5" s="14"/>
      <c r="L5" s="14"/>
      <c r="M5" s="14"/>
      <c r="N5" s="14"/>
      <c r="O5" s="17" t="s">
        <v>50</v>
      </c>
      <c r="P5" s="17"/>
      <c r="Q5" s="17"/>
      <c r="R5" s="17"/>
      <c r="S5" s="17"/>
      <c r="T5" s="17"/>
      <c r="U5" s="18" t="s">
        <v>56</v>
      </c>
      <c r="V5" s="18"/>
      <c r="W5" s="18"/>
      <c r="X5" s="18"/>
      <c r="Y5" s="18"/>
      <c r="Z5" s="18"/>
    </row>
    <row r="6" spans="1:26" ht="15.6" x14ac:dyDescent="0.3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41</v>
      </c>
      <c r="J6" s="7" t="s">
        <v>42</v>
      </c>
      <c r="K6" s="7" t="s">
        <v>7</v>
      </c>
      <c r="L6" s="7" t="s">
        <v>43</v>
      </c>
      <c r="M6" s="7" t="s">
        <v>8</v>
      </c>
      <c r="N6" s="7" t="s">
        <v>44</v>
      </c>
      <c r="O6" s="7" t="s">
        <v>41</v>
      </c>
      <c r="P6" s="7" t="s">
        <v>42</v>
      </c>
      <c r="Q6" s="7" t="s">
        <v>7</v>
      </c>
      <c r="R6" s="7" t="s">
        <v>43</v>
      </c>
      <c r="S6" s="7" t="s">
        <v>8</v>
      </c>
      <c r="T6" s="7" t="s">
        <v>44</v>
      </c>
      <c r="U6" s="7" t="s">
        <v>41</v>
      </c>
      <c r="V6" s="7" t="s">
        <v>42</v>
      </c>
      <c r="W6" s="7" t="s">
        <v>7</v>
      </c>
      <c r="X6" s="7" t="s">
        <v>43</v>
      </c>
      <c r="Y6" s="7" t="s">
        <v>8</v>
      </c>
      <c r="Z6" s="7" t="s">
        <v>44</v>
      </c>
    </row>
    <row r="7" spans="1:26" ht="150" customHeight="1" x14ac:dyDescent="0.3">
      <c r="A7" s="8" t="s">
        <v>9</v>
      </c>
      <c r="B7" s="8" t="s">
        <v>10</v>
      </c>
      <c r="C7" s="8" t="s">
        <v>11</v>
      </c>
      <c r="E7" s="8" t="s">
        <v>12</v>
      </c>
      <c r="F7" s="8">
        <f>CEILING(BoardQty*160,1)</f>
        <v>160</v>
      </c>
      <c r="G7" s="9">
        <f t="shared" ref="G7:G14" si="0">IF(MIN(K7,Q7,W7)&lt;&gt;0,MIN(K7,Q7,W7),"")</f>
        <v>0.46500000000000002</v>
      </c>
      <c r="H7" s="10">
        <f t="shared" ref="H7:H14" si="1">IF(AND(ISNUMBER(F7),ISNUMBER(G7)),F7*G7,"")</f>
        <v>74.400000000000006</v>
      </c>
      <c r="I7" s="8">
        <v>15663</v>
      </c>
      <c r="J7" s="8">
        <v>160</v>
      </c>
      <c r="K7" s="9">
        <f>IFERROR(IF(OR(J7&gt;=L7,F7&gt;=L7),LOOKUP(IF(J7="",F7,J7),{0,1,10,100,500,1000,2500,5000},{0,0.86,0.65,0.465,0.36,0.31,0.29,0.275}),"MOQ="&amp;L7),"")</f>
        <v>0.46500000000000002</v>
      </c>
      <c r="L7" s="8">
        <v>1</v>
      </c>
      <c r="M7" s="10">
        <f>IFERROR(IF(J7="",F7,J7)*K7,"")</f>
        <v>74.400000000000006</v>
      </c>
      <c r="N7" s="8" t="s">
        <v>45</v>
      </c>
    </row>
    <row r="8" spans="1:26" ht="28.8" x14ac:dyDescent="0.3">
      <c r="A8" s="8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>
        <f>CEILING(BoardQty*4,1)</f>
        <v>4</v>
      </c>
      <c r="G8" s="9">
        <f t="shared" si="0"/>
        <v>0.86</v>
      </c>
      <c r="H8" s="10">
        <f t="shared" si="1"/>
        <v>3.44</v>
      </c>
      <c r="I8" s="8">
        <v>15663</v>
      </c>
      <c r="J8" s="8">
        <v>4</v>
      </c>
      <c r="K8" s="9">
        <f>IFERROR(IF(OR(J8&gt;=L8,F8&gt;=L8),LOOKUP(IF(J8="",F8,J8),{0,1,10,100,500,1000,2500,5000},{0,0.86,0.65,0.465,0.36,0.31,0.29,0.275}),"MOQ="&amp;L8),"")</f>
        <v>0.86</v>
      </c>
      <c r="L8" s="8">
        <v>1</v>
      </c>
      <c r="M8" s="10">
        <f>IFERROR(IF(J8="",F8,J8)*K8,"")</f>
        <v>3.44</v>
      </c>
      <c r="N8" s="8" t="s">
        <v>45</v>
      </c>
      <c r="O8" s="8">
        <v>960</v>
      </c>
      <c r="P8" s="8"/>
      <c r="Q8" s="9">
        <f>IFERROR(IF(OR(P8&gt;=R8,F8&gt;=R8),LOOKUP(IF(P8="",F8,P8),{0,1,8,104,256,504,1000},{0,9.82,9.39,7.89,6.67,6.28,5.84}),"MOQ="&amp;R8),"")</f>
        <v>9.82</v>
      </c>
      <c r="R8" s="8">
        <v>1</v>
      </c>
      <c r="S8" s="10">
        <f>IFERROR(IF(P8="",F8,P8)*Q8,"")</f>
        <v>39.28</v>
      </c>
      <c r="T8" s="8" t="s">
        <v>51</v>
      </c>
    </row>
    <row r="9" spans="1:26" x14ac:dyDescent="0.3">
      <c r="A9" s="8" t="s">
        <v>18</v>
      </c>
      <c r="B9" s="8" t="s">
        <v>19</v>
      </c>
      <c r="C9" s="8" t="s">
        <v>20</v>
      </c>
      <c r="D9" s="8" t="s">
        <v>16</v>
      </c>
      <c r="E9" s="8" t="s">
        <v>21</v>
      </c>
      <c r="F9" s="8">
        <f>CEILING(BoardQty*1,1)</f>
        <v>1</v>
      </c>
      <c r="G9" s="9">
        <f t="shared" si="0"/>
        <v>9.02</v>
      </c>
      <c r="H9" s="10">
        <f t="shared" si="1"/>
        <v>9.02</v>
      </c>
      <c r="I9" s="8">
        <v>60</v>
      </c>
      <c r="J9" s="8">
        <v>1</v>
      </c>
      <c r="K9" s="9">
        <f>IFERROR(IF(OR(J9&gt;=L9,F9&gt;=L9),LOOKUP(IF(J9="",F9,J9),{0,1,10,100,500,1000,5000},{0,9.02,8.624,7.252,6.076,5.3704,5.096}),"MOQ="&amp;L9),"")</f>
        <v>9.02</v>
      </c>
      <c r="L9" s="8">
        <v>1</v>
      </c>
      <c r="M9" s="10">
        <f>IFERROR(IF(J9="",F9,J9)*K9,"")</f>
        <v>9.02</v>
      </c>
      <c r="N9" s="8" t="s">
        <v>46</v>
      </c>
      <c r="O9" s="8">
        <v>13</v>
      </c>
      <c r="P9" s="8"/>
      <c r="Q9" s="9">
        <f>IFERROR(IF(OR(P9&gt;=R9,F9&gt;=R9),LOOKUP(IF(P9="",F9,P9),{0,1,8,104,256,504,1000},{0,12.98,11.8,9.79,8.68,8.42,7.84}),"MOQ="&amp;R9),"")</f>
        <v>12.98</v>
      </c>
      <c r="R9" s="8">
        <v>1</v>
      </c>
      <c r="S9" s="10">
        <f>IFERROR(IF(P9="",F9,P9)*Q9,"")</f>
        <v>12.98</v>
      </c>
      <c r="T9" s="8" t="s">
        <v>52</v>
      </c>
    </row>
    <row r="10" spans="1:26" ht="28.8" x14ac:dyDescent="0.3">
      <c r="A10" s="8" t="s">
        <v>22</v>
      </c>
      <c r="B10" s="8" t="s">
        <v>23</v>
      </c>
      <c r="C10" s="8" t="s">
        <v>24</v>
      </c>
      <c r="D10" s="8" t="s">
        <v>16</v>
      </c>
      <c r="E10" s="8" t="s">
        <v>25</v>
      </c>
      <c r="F10" s="8">
        <f>CEILING(BoardQty*1,1)</f>
        <v>1</v>
      </c>
      <c r="G10" s="9">
        <f t="shared" si="0"/>
        <v>0.86</v>
      </c>
      <c r="H10" s="10">
        <f t="shared" si="1"/>
        <v>0.86</v>
      </c>
      <c r="I10" s="8">
        <v>15663</v>
      </c>
      <c r="J10" s="8">
        <v>1</v>
      </c>
      <c r="K10" s="9">
        <f>IFERROR(IF(OR(J10&gt;=L10,F10&gt;=L10),LOOKUP(IF(J10="",F10,J10),{0,1,10,100,500,1000,2500,5000},{0,0.86,0.65,0.465,0.36,0.31,0.29,0.275}),"MOQ="&amp;L10),"")</f>
        <v>0.86</v>
      </c>
      <c r="L10" s="8">
        <v>1</v>
      </c>
      <c r="M10" s="10">
        <f>IFERROR(IF(J10="",F10,J10)*K10,"")</f>
        <v>0.86</v>
      </c>
      <c r="N10" s="8" t="s">
        <v>45</v>
      </c>
      <c r="O10" s="8">
        <v>58</v>
      </c>
      <c r="P10" s="8"/>
      <c r="Q10" s="9">
        <f>IFERROR(IF(OR(P10&gt;=R10,F10&gt;=R10),LOOKUP(IF(P10="",F10,P10),{0,1,10,100,250,500,1000},{0,9.61,8.14,7.94,7.12,6.7,6.05}),"MOQ="&amp;R10),"")</f>
        <v>9.61</v>
      </c>
      <c r="R10" s="8">
        <v>1</v>
      </c>
      <c r="S10" s="10">
        <f>IFERROR(IF(P10="",F10,P10)*Q10,"")</f>
        <v>9.61</v>
      </c>
      <c r="T10" s="8" t="s">
        <v>53</v>
      </c>
    </row>
    <row r="11" spans="1:26" x14ac:dyDescent="0.3">
      <c r="A11" s="8" t="s">
        <v>26</v>
      </c>
      <c r="B11" s="8" t="s">
        <v>27</v>
      </c>
      <c r="C11" s="8" t="s">
        <v>28</v>
      </c>
      <c r="F11" s="8">
        <f>CEILING(BoardQty*4,1)</f>
        <v>4</v>
      </c>
      <c r="G11" s="9" t="str">
        <f t="shared" si="0"/>
        <v/>
      </c>
      <c r="H11" s="10" t="str">
        <f t="shared" si="1"/>
        <v/>
      </c>
    </row>
    <row r="12" spans="1:26" ht="45" customHeight="1" x14ac:dyDescent="0.3">
      <c r="A12" s="8" t="s">
        <v>29</v>
      </c>
      <c r="B12" s="8" t="s">
        <v>30</v>
      </c>
      <c r="C12" s="8" t="s">
        <v>31</v>
      </c>
      <c r="F12" s="8">
        <f>CEILING(BoardQty*2,1)</f>
        <v>2</v>
      </c>
      <c r="G12" s="9" t="str">
        <f t="shared" si="0"/>
        <v/>
      </c>
      <c r="H12" s="10" t="str">
        <f t="shared" si="1"/>
        <v/>
      </c>
    </row>
    <row r="13" spans="1:26" ht="150" customHeight="1" x14ac:dyDescent="0.3">
      <c r="A13" s="8" t="s">
        <v>32</v>
      </c>
      <c r="B13" s="8" t="s">
        <v>33</v>
      </c>
      <c r="C13" s="8" t="s">
        <v>34</v>
      </c>
      <c r="E13" s="8" t="s">
        <v>35</v>
      </c>
      <c r="F13" s="8">
        <f>CEILING(BoardQty*160,1)</f>
        <v>160</v>
      </c>
      <c r="G13" s="9">
        <f t="shared" si="0"/>
        <v>7.0000000000000001E-3</v>
      </c>
      <c r="H13" s="10">
        <f t="shared" si="1"/>
        <v>1.1200000000000001</v>
      </c>
      <c r="I13" s="8">
        <v>27703508</v>
      </c>
      <c r="J13" s="8">
        <v>160</v>
      </c>
      <c r="K13" s="9">
        <f>IFERROR(IF(OR(J13&gt;=L13,F13&gt;=L13),LOOKUP(IF(J13="",F13,J13),{0,1,10,100,1000,2500},{0,0.1,0.021,0.0084,0.00379,0.00329}),"MOQ="&amp;L13),"")</f>
        <v>8.3999999999999995E-3</v>
      </c>
      <c r="L13" s="8">
        <v>1</v>
      </c>
      <c r="M13" s="10">
        <f>IFERROR(IF(J13="",F13,J13)*K13,"")</f>
        <v>1.3439999999999999</v>
      </c>
      <c r="N13" s="8" t="s">
        <v>47</v>
      </c>
      <c r="O13" s="8">
        <v>12010386</v>
      </c>
      <c r="P13" s="8"/>
      <c r="Q13" s="9">
        <f>IFERROR(IF(OR(P13&gt;=R13,F13&gt;=R13),LOOKUP(IF(P13="",F13,P13),{0,1,10,100,1000,5000},{0,0.1,0.017,0.007,0.004,0.003}),"MOQ="&amp;R13),"")</f>
        <v>7.0000000000000001E-3</v>
      </c>
      <c r="R13" s="8">
        <v>1</v>
      </c>
      <c r="S13" s="10">
        <f>IFERROR(IF(P13="",F13,P13)*Q13,"")</f>
        <v>1.1200000000000001</v>
      </c>
      <c r="T13" s="8" t="s">
        <v>54</v>
      </c>
      <c r="U13" s="8">
        <v>784800</v>
      </c>
      <c r="V13" s="8"/>
      <c r="W13" s="9">
        <f>IFERROR(IF(OR(V13&gt;=X13,F13&gt;=X13),LOOKUP(IF(V13="",F13,V13),{0,1,100,1000,5000,15000,50000},{0,0.01112,0.01112,0.00333,0.00122,0.00105,0.00101}),"MOQ="&amp;X13),"")</f>
        <v>1.112E-2</v>
      </c>
      <c r="X13" s="8">
        <v>100</v>
      </c>
      <c r="Y13" s="10">
        <f>IFERROR(IF(V13="",F13,V13)*W13,"")</f>
        <v>1.7791999999999999</v>
      </c>
      <c r="Z13" s="8" t="s">
        <v>57</v>
      </c>
    </row>
    <row r="14" spans="1:26" ht="28.8" x14ac:dyDescent="0.3">
      <c r="A14" s="8" t="s">
        <v>36</v>
      </c>
      <c r="B14" s="8" t="s">
        <v>37</v>
      </c>
      <c r="C14" s="8" t="s">
        <v>38</v>
      </c>
      <c r="E14" s="8" t="s">
        <v>39</v>
      </c>
      <c r="F14" s="8">
        <f>CEILING(BoardQty*20,1)</f>
        <v>20</v>
      </c>
      <c r="G14" s="9">
        <f t="shared" si="0"/>
        <v>0.3916</v>
      </c>
      <c r="H14" s="10">
        <f t="shared" si="1"/>
        <v>7.8319999999999999</v>
      </c>
      <c r="I14" s="8">
        <v>904</v>
      </c>
      <c r="J14" s="8">
        <v>20</v>
      </c>
      <c r="K14" s="9">
        <f>IFERROR(IF(OR(J14&gt;=L14,F14&gt;=L14),LOOKUP(IF(J14="",F14,J14),{0,1,10,25,100,250,500,1000,2500,5000},{0,0.51,0.439,0.4096,0.3277,0.30428,0.25746,0.19894,0.18139,0.16968}),"MOQ="&amp;L14),"")</f>
        <v>0.439</v>
      </c>
      <c r="L14" s="8">
        <v>1</v>
      </c>
      <c r="M14" s="10">
        <f>IFERROR(IF(J14="",F14,J14)*K14,"")</f>
        <v>8.7799999999999994</v>
      </c>
      <c r="N14" s="8" t="s">
        <v>48</v>
      </c>
      <c r="O14" s="8">
        <v>9176</v>
      </c>
      <c r="P14" s="8"/>
      <c r="Q14" s="9">
        <f>IFERROR(IF(OR(P14&gt;=R14,F14&gt;=R14),LOOKUP(IF(P14="",F14,P14),{0,1,10,96,288,576,1056,2592,4704,9408},{0,0.69,0.57,0.464,0.431,0.367,0.293,0.268,0.251,0.242}),"MOQ="&amp;R14),"")</f>
        <v>0.56999999999999995</v>
      </c>
      <c r="R14" s="8">
        <v>1</v>
      </c>
      <c r="S14" s="10">
        <f>IFERROR(IF(P14="",F14,P14)*Q14,"")</f>
        <v>11.399999999999999</v>
      </c>
      <c r="T14" s="8" t="s">
        <v>55</v>
      </c>
      <c r="U14" s="8">
        <v>12</v>
      </c>
      <c r="V14" s="8"/>
      <c r="W14" s="9">
        <f>IFERROR(IF(OR(V14&gt;=X14,F14&gt;=X14),LOOKUP(IF(V14="",F14,V14),{0,1,5,25,96,480},{0,0.3916,0.3916,0.3555,0.3173,0.26}),"MOQ="&amp;X14),"")</f>
        <v>0.3916</v>
      </c>
      <c r="X14" s="8">
        <v>5</v>
      </c>
      <c r="Y14" s="10">
        <f>IFERROR(IF(V14="",F14,V14)*W14,"")</f>
        <v>7.8319999999999999</v>
      </c>
      <c r="Z14" s="8" t="s">
        <v>39</v>
      </c>
    </row>
    <row r="16" spans="1:26" ht="17.399999999999999" x14ac:dyDescent="0.3">
      <c r="G16" s="1" t="s">
        <v>58</v>
      </c>
      <c r="H16" s="5">
        <f>SUM(M16,S16,Y16)</f>
        <v>97.843999999999994</v>
      </c>
      <c r="I16" s="11" t="s">
        <v>49</v>
      </c>
      <c r="J16" s="6" t="str">
        <f>IFERROR(IF(COUNTIF(J7:J14,"&gt;0")&gt;0,COUNTIF(J7:J14,"&gt;0")&amp;" of "&amp;(ROWS(L7:L14)-COUNTBLANK(L7:L14))&amp;" parts purchased",""),"")</f>
        <v>6 of 6 parts purchased</v>
      </c>
      <c r="M16" s="5">
        <f>SUMIF(J7:J14,"&gt;0",M7:M14)</f>
        <v>97.843999999999994</v>
      </c>
      <c r="O16" s="11" t="s">
        <v>49</v>
      </c>
      <c r="P16" s="6" t="str">
        <f>IFERROR(IF(COUNTIF(P7:P14,"&gt;0")&gt;0,COUNTIF(P7:P14,"&gt;0")&amp;" of "&amp;(ROWS(R7:R14)-COUNTBLANK(R7:R14))&amp;" parts purchased",""),"")</f>
        <v/>
      </c>
      <c r="S16" s="5">
        <f>SUMIF(P7:P14,"&gt;0",S7:S14)</f>
        <v>0</v>
      </c>
      <c r="U16" s="11" t="s">
        <v>49</v>
      </c>
      <c r="V16" s="6" t="str">
        <f>IFERROR(IF(COUNTIF(V7:V14,"&gt;0")&gt;0,COUNTIF(V7:V14,"&gt;0")&amp;" of "&amp;(ROWS(X7:X14)-COUNTBLANK(X7:X14))&amp;" parts purchased",""),"")</f>
        <v/>
      </c>
      <c r="Y16" s="5">
        <f>SUMIF(V7:V14,"&gt;0",Y7:Y14)</f>
        <v>0</v>
      </c>
    </row>
    <row r="17" spans="1:25" ht="15.6" x14ac:dyDescent="0.3">
      <c r="A17" s="2" t="s">
        <v>70</v>
      </c>
      <c r="G17" s="12" t="s">
        <v>59</v>
      </c>
      <c r="J17" s="15" t="str">
        <f>CONCATENATE(J26,J27,J28,J29,J30,J31,J32,J33)</f>
        <v xml:space="preserve">160,P5555-ND,D1-D4;D6-D10;D12-D16;D18-D22;D24;D25;D27-D31;D33-D37;D39-D43;D45-D52;D54-D58;D60-D64;D66-D70;D72;D73;D75-D79;D81-D85;D87-D91;D93-D100;D102-D106;D108-D112;D114-D118;D120;D121;D123-D127;D129-D133;D135-D139;D141-D148;D150-D154;D156-D160;D162-D166;D168-D172;D174-D178;D180-D184;D186-D190;D192
4,P5555-ND,J1-J4
1,SAM8112-ND,J5
1,P5555-ND,J6
160,311-1.00KHRCT-ND,R1-R4;R6-R10;R12-R16;R18-R22;R24;R25;R27-R31;R33-R37;R39-R43;R45-R52;R54-R58;R60-R64;R66-R70;R72;R73;R75-R79;R81-R85;R87-R91;R93-R100;R102-R106;R108-R112;R114-R118;R120;R121;R123-R127;R129-R133;R135-R139;R141-R148;R150-R154;R156-R160;R162-R166;R168-R172;R174-R178;R180-R184;R186-R190;R192
20,MC74HC595ADTGOS-ND,U1-U7;U9-U21
</v>
      </c>
      <c r="K17" s="16"/>
      <c r="L17" s="16"/>
      <c r="M17" s="16"/>
      <c r="P17" s="15" t="str">
        <f>CONCATENATE(P26,P27,P28,P29,P30,P31,P32,P33)</f>
        <v/>
      </c>
      <c r="Q17" s="16"/>
      <c r="R17" s="16"/>
      <c r="S17" s="16"/>
      <c r="V17" s="15" t="str">
        <f>CONCATENATE(V26,V27,V28,V29,V30,V31,V32,V33)</f>
        <v/>
      </c>
      <c r="W17" s="16"/>
      <c r="X17" s="16"/>
      <c r="Y17" s="16"/>
    </row>
    <row r="18" spans="1:25" x14ac:dyDescent="0.3">
      <c r="J18" s="16"/>
      <c r="K18" s="16"/>
      <c r="L18" s="16"/>
      <c r="M18" s="16"/>
      <c r="P18" s="16"/>
      <c r="Q18" s="16"/>
      <c r="R18" s="16"/>
      <c r="S18" s="16"/>
      <c r="V18" s="16"/>
      <c r="W18" s="16"/>
      <c r="X18" s="16"/>
      <c r="Y18" s="16"/>
    </row>
    <row r="19" spans="1:25" x14ac:dyDescent="0.3">
      <c r="J19" s="16"/>
      <c r="K19" s="16"/>
      <c r="L19" s="16"/>
      <c r="M19" s="16"/>
      <c r="P19" s="16"/>
      <c r="Q19" s="16"/>
      <c r="R19" s="16"/>
      <c r="S19" s="16"/>
      <c r="V19" s="16"/>
      <c r="W19" s="16"/>
      <c r="X19" s="16"/>
      <c r="Y19" s="16"/>
    </row>
    <row r="20" spans="1:25" x14ac:dyDescent="0.3">
      <c r="J20" s="16"/>
      <c r="K20" s="16"/>
      <c r="L20" s="16"/>
      <c r="M20" s="16"/>
      <c r="P20" s="16"/>
      <c r="Q20" s="16"/>
      <c r="R20" s="16"/>
      <c r="S20" s="16"/>
      <c r="V20" s="16"/>
      <c r="W20" s="16"/>
      <c r="X20" s="16"/>
      <c r="Y20" s="16"/>
    </row>
    <row r="21" spans="1:25" x14ac:dyDescent="0.3">
      <c r="J21" s="16"/>
      <c r="K21" s="16"/>
      <c r="L21" s="16"/>
      <c r="M21" s="16"/>
      <c r="P21" s="16"/>
      <c r="Q21" s="16"/>
      <c r="R21" s="16"/>
      <c r="S21" s="16"/>
      <c r="V21" s="16"/>
      <c r="W21" s="16"/>
      <c r="X21" s="16"/>
      <c r="Y21" s="16"/>
    </row>
    <row r="22" spans="1:25" x14ac:dyDescent="0.3">
      <c r="J22" s="16"/>
      <c r="K22" s="16"/>
      <c r="L22" s="16"/>
      <c r="M22" s="16"/>
      <c r="P22" s="16"/>
      <c r="Q22" s="16"/>
      <c r="R22" s="16"/>
      <c r="S22" s="16"/>
      <c r="V22" s="16"/>
      <c r="W22" s="16"/>
      <c r="X22" s="16"/>
      <c r="Y22" s="16"/>
    </row>
    <row r="23" spans="1:25" x14ac:dyDescent="0.3">
      <c r="J23" s="16"/>
      <c r="K23" s="16"/>
      <c r="L23" s="16"/>
      <c r="M23" s="16"/>
      <c r="P23" s="16"/>
      <c r="Q23" s="16"/>
      <c r="R23" s="16"/>
      <c r="S23" s="16"/>
      <c r="V23" s="16"/>
      <c r="W23" s="16"/>
      <c r="X23" s="16"/>
      <c r="Y23" s="16"/>
    </row>
    <row r="24" spans="1:25" x14ac:dyDescent="0.3">
      <c r="J24" s="16"/>
      <c r="K24" s="16"/>
      <c r="L24" s="16"/>
      <c r="M24" s="16"/>
      <c r="P24" s="16"/>
      <c r="Q24" s="16"/>
      <c r="R24" s="16"/>
      <c r="S24" s="16"/>
      <c r="V24" s="16"/>
      <c r="W24" s="16"/>
      <c r="X24" s="16"/>
      <c r="Y24" s="16"/>
    </row>
    <row r="25" spans="1:25" x14ac:dyDescent="0.3">
      <c r="J25" s="16"/>
      <c r="K25" s="16"/>
      <c r="L25" s="16"/>
      <c r="M25" s="16"/>
      <c r="P25" s="16"/>
      <c r="Q25" s="16"/>
      <c r="R25" s="16"/>
      <c r="S25" s="16"/>
      <c r="V25" s="16"/>
      <c r="W25" s="16"/>
      <c r="X25" s="16"/>
      <c r="Y25" s="16"/>
    </row>
    <row r="26" spans="1:25" ht="30" hidden="1" customHeight="1" x14ac:dyDescent="0.3">
      <c r="J26" t="str">
        <f t="array" ref="J26:J33">IF(ISNUMBER(J7:J14)*(J7:J14&gt;=L7:L14)*(N7:N14&lt;&gt;""),TEXT(ROUNDUP(J7:J14/IF(ISNUMBER(L7:L14),L7:L14,1),0)*L7:L14,"##0")&amp;","&amp;N7:N14&amp;","&amp;SUBSTITUTE(SUBSTITUTE(IF(PURCHASE_DESCRIPTION&lt;&gt;"",PURCHASE_DESCRIPTION&amp;":","")&amp;A7:A14,",",";"),"
"," ")&amp;CHAR(10),"")</f>
        <v xml:space="preserve">160,P5555-ND,D1-D4;D6-D10;D12-D16;D18-D22;D24;D25;D27-D31;D33-D37;D39-D43;D45-D52;D54-D58;D60-D64;D66-D70;D72;D73;D75-D79;D81-D85;D87-D91;D93-D100;D102-D106;D108-D112;D114-D118;D120;D121;D123-D127;D129-D133;D135-D139;D141-D148;D150-D154;D156-D160;D162-D166;D168-D172;D174-D178;D180-D184;D186-D190;D192
</v>
      </c>
      <c r="P26" t="str">
        <f t="array" ref="P26:P33">IF(ISNUMBER(P7:P14)*(P7:P14&gt;=R7:R14)*(T7:T14&lt;&gt;""),T7:T14&amp;"|"&amp;TEXT(ROUNDUP(P7:P14/IF(ISNUMBER(R7:R14),R7:R14,1),0)*R7:R14,"##0")&amp;"|"&amp;SUBSTITUTE(SUBSTITUTE(SUBSTITUTE(IF(PURCHASE_DESCRIPTION&lt;&gt;"",PURCHASE_DESCRIPTION&amp;":","")&amp;A7:A14,"|",";")," ","_"),"
","_")&amp;CHAR(10),"")</f>
        <v/>
      </c>
      <c r="V26" t="str">
        <f t="array" ref="V26:V33">IF(ISNUMBER(V7:V14)*(V7:V14&gt;=X7:X14)*(Z7:Z14&lt;&gt;""),Z7:Z14&amp;" "&amp;TEXT(ROUNDUP(V7:V14/IF(ISNUMBER(X7:X14),X7:X14,1),0)*X7:X14,"##0")&amp;" "&amp;SUBSTITUTE(SUBSTITUTE(IF(PURCHASE_DESCRIPTION&lt;&gt;"",PURCHASE_DESCRIPTION&amp;":","")&amp;A7:A14," ",";"),"
",";")&amp;CHAR(10),"")</f>
        <v/>
      </c>
    </row>
    <row r="27" spans="1:25" ht="30" hidden="1" customHeight="1" x14ac:dyDescent="0.3">
      <c r="J27" t="str">
        <v xml:space="preserve">4,P5555-ND,J1-J4
</v>
      </c>
      <c r="P27" t="str">
        <v/>
      </c>
      <c r="V27" t="str">
        <v/>
      </c>
    </row>
    <row r="28" spans="1:25" ht="30" hidden="1" customHeight="1" x14ac:dyDescent="0.3">
      <c r="J28" t="str">
        <v xml:space="preserve">1,SAM8112-ND,J5
</v>
      </c>
      <c r="P28" t="str">
        <v/>
      </c>
      <c r="V28" t="str">
        <v/>
      </c>
    </row>
    <row r="29" spans="1:25" ht="30" hidden="1" customHeight="1" x14ac:dyDescent="0.3">
      <c r="J29" t="str">
        <v xml:space="preserve">1,P5555-ND,J6
</v>
      </c>
      <c r="P29" t="str">
        <v/>
      </c>
      <c r="V29" t="str">
        <v/>
      </c>
    </row>
    <row r="30" spans="1:25" ht="30" hidden="1" customHeight="1" x14ac:dyDescent="0.3">
      <c r="J30" t="str">
        <v/>
      </c>
      <c r="P30" t="str">
        <v/>
      </c>
      <c r="V30" t="str">
        <v/>
      </c>
    </row>
    <row r="31" spans="1:25" ht="30" hidden="1" customHeight="1" x14ac:dyDescent="0.3">
      <c r="J31" t="str">
        <v/>
      </c>
      <c r="P31" t="str">
        <v/>
      </c>
      <c r="V31" t="str">
        <v/>
      </c>
    </row>
    <row r="32" spans="1:25" ht="30" hidden="1" customHeight="1" x14ac:dyDescent="0.3">
      <c r="J32" t="str">
        <v xml:space="preserve">160,311-1.00KHRCT-ND,R1-R4;R6-R10;R12-R16;R18-R22;R24;R25;R27-R31;R33-R37;R39-R43;R45-R52;R54-R58;R60-R64;R66-R70;R72;R73;R75-R79;R81-R85;R87-R91;R93-R100;R102-R106;R108-R112;R114-R118;R120;R121;R123-R127;R129-R133;R135-R139;R141-R148;R150-R154;R156-R160;R162-R166;R168-R172;R174-R178;R180-R184;R186-R190;R192
</v>
      </c>
      <c r="P32" t="str">
        <v/>
      </c>
      <c r="V32" t="str">
        <v/>
      </c>
    </row>
    <row r="33" spans="10:22" ht="30" hidden="1" customHeight="1" x14ac:dyDescent="0.3">
      <c r="J33" t="str">
        <v xml:space="preserve">20,MC74HC595ADTGOS-ND,U1-U7;U9-U21
</v>
      </c>
      <c r="P33" t="str">
        <v/>
      </c>
      <c r="V33" t="str">
        <v/>
      </c>
    </row>
  </sheetData>
  <mergeCells count="7">
    <mergeCell ref="U5:Z5"/>
    <mergeCell ref="V17:Y25"/>
    <mergeCell ref="A5:H5"/>
    <mergeCell ref="I5:N5"/>
    <mergeCell ref="J17:M25"/>
    <mergeCell ref="O5:T5"/>
    <mergeCell ref="P17:S25"/>
  </mergeCells>
  <conditionalFormatting sqref="F10">
    <cfRule type="expression" dxfId="85" priority="67">
      <formula>AND(ISBLANK(E10),ISBLANK(M10),ISBLANK(S10),ISBLANK(Y10))</formula>
    </cfRule>
    <cfRule type="expression" dxfId="84" priority="68">
      <formula>IF(SUM(I10,O10,U10)=0,1,0)</formula>
    </cfRule>
    <cfRule type="cellIs" dxfId="83" priority="69" operator="greaterThan">
      <formula>SUM(I10,O10,U10)</formula>
    </cfRule>
    <cfRule type="cellIs" dxfId="82" priority="70" operator="greaterThan">
      <formula>SUM(IF(ISNUMBER(K10),J10,0),IF(ISNUMBER(Q10),P10,0),IF(ISNUMBER(W10),V10,0))</formula>
    </cfRule>
  </conditionalFormatting>
  <conditionalFormatting sqref="F11">
    <cfRule type="expression" dxfId="81" priority="71">
      <formula>AND(ISBLANK(E11),ISBLANK(M11),ISBLANK(S11),ISBLANK(Y11))</formula>
    </cfRule>
    <cfRule type="expression" dxfId="80" priority="72">
      <formula>IF(SUM(I11,O11,U11)=0,1,0)</formula>
    </cfRule>
    <cfRule type="cellIs" dxfId="79" priority="73" operator="greaterThan">
      <formula>SUM(I11,O11,U11)</formula>
    </cfRule>
    <cfRule type="cellIs" dxfId="78" priority="74" operator="greaterThan">
      <formula>SUM(IF(ISNUMBER(K11),J11,0),IF(ISNUMBER(Q11),P11,0),IF(ISNUMBER(W11),V11,0))</formula>
    </cfRule>
  </conditionalFormatting>
  <conditionalFormatting sqref="F12">
    <cfRule type="expression" dxfId="77" priority="75">
      <formula>AND(ISBLANK(E12),ISBLANK(M12),ISBLANK(S12),ISBLANK(Y12))</formula>
    </cfRule>
    <cfRule type="expression" dxfId="76" priority="76">
      <formula>IF(SUM(I12,O12,U12)=0,1,0)</formula>
    </cfRule>
    <cfRule type="cellIs" dxfId="75" priority="77" operator="greaterThan">
      <formula>SUM(I12,O12,U12)</formula>
    </cfRule>
    <cfRule type="cellIs" dxfId="74" priority="78" operator="greaterThan">
      <formula>SUM(IF(ISNUMBER(K12),J12,0),IF(ISNUMBER(Q12),P12,0),IF(ISNUMBER(W12),V12,0))</formula>
    </cfRule>
  </conditionalFormatting>
  <conditionalFormatting sqref="F13">
    <cfRule type="expression" dxfId="73" priority="79">
      <formula>AND(ISBLANK(E13),ISBLANK(M13),ISBLANK(S13),ISBLANK(Y13))</formula>
    </cfRule>
    <cfRule type="expression" dxfId="72" priority="80">
      <formula>IF(SUM(I13,O13,U13)=0,1,0)</formula>
    </cfRule>
    <cfRule type="cellIs" dxfId="71" priority="81" operator="greaterThan">
      <formula>SUM(I13,O13,U13)</formula>
    </cfRule>
    <cfRule type="cellIs" dxfId="70" priority="82" operator="greaterThan">
      <formula>SUM(IF(ISNUMBER(K13),J13,0),IF(ISNUMBER(Q13),P13,0),IF(ISNUMBER(W13),V13,0))</formula>
    </cfRule>
  </conditionalFormatting>
  <conditionalFormatting sqref="F14">
    <cfRule type="expression" dxfId="69" priority="83">
      <formula>AND(ISBLANK(E14),ISBLANK(M14),ISBLANK(S14),ISBLANK(Y14))</formula>
    </cfRule>
    <cfRule type="expression" dxfId="68" priority="84">
      <formula>IF(SUM(I14,O14,U14)=0,1,0)</formula>
    </cfRule>
    <cfRule type="cellIs" dxfId="67" priority="85" operator="greaterThan">
      <formula>SUM(I14,O14,U14)</formula>
    </cfRule>
    <cfRule type="cellIs" dxfId="66" priority="86" operator="greaterThan">
      <formula>SUM(IF(ISNUMBER(K14),J14,0),IF(ISNUMBER(Q14),P14,0),IF(ISNUMBER(W14),V14,0))</formula>
    </cfRule>
  </conditionalFormatting>
  <conditionalFormatting sqref="F7">
    <cfRule type="expression" dxfId="65" priority="55">
      <formula>AND(ISBLANK(E7),ISBLANK(M7),ISBLANK(S7),ISBLANK(Y7))</formula>
    </cfRule>
    <cfRule type="expression" dxfId="64" priority="56">
      <formula>IF(SUM(I7,O7,U7)=0,1,0)</formula>
    </cfRule>
    <cfRule type="cellIs" dxfId="63" priority="57" operator="greaterThan">
      <formula>SUM(I7,O7,U7)</formula>
    </cfRule>
    <cfRule type="cellIs" dxfId="62" priority="58" operator="greaterThan">
      <formula>SUM(IF(ISNUMBER(K7),J7,0),IF(ISNUMBER(Q7),P7,0),IF(ISNUMBER(W7),V7,0))</formula>
    </cfRule>
  </conditionalFormatting>
  <conditionalFormatting sqref="F8">
    <cfRule type="expression" dxfId="61" priority="59">
      <formula>AND(ISBLANK(E8),ISBLANK(M8),ISBLANK(S8),ISBLANK(Y8))</formula>
    </cfRule>
    <cfRule type="expression" dxfId="60" priority="60">
      <formula>IF(SUM(I8,O8,U8)=0,1,0)</formula>
    </cfRule>
    <cfRule type="cellIs" dxfId="59" priority="61" operator="greaterThan">
      <formula>SUM(I8,O8,U8)</formula>
    </cfRule>
    <cfRule type="cellIs" dxfId="58" priority="62" operator="greaterThan">
      <formula>SUM(IF(ISNUMBER(K8),J8,0),IF(ISNUMBER(Q8),P8,0),IF(ISNUMBER(W8),V8,0))</formula>
    </cfRule>
  </conditionalFormatting>
  <conditionalFormatting sqref="F9">
    <cfRule type="expression" dxfId="57" priority="63">
      <formula>AND(ISBLANK(E9),ISBLANK(M9),ISBLANK(S9),ISBLANK(Y9))</formula>
    </cfRule>
    <cfRule type="expression" dxfId="56" priority="64">
      <formula>IF(SUM(I9,O9,U9)=0,1,0)</formula>
    </cfRule>
    <cfRule type="cellIs" dxfId="55" priority="65" operator="greaterThan">
      <formula>SUM(I9,O9,U9)</formula>
    </cfRule>
    <cfRule type="cellIs" dxfId="54" priority="66" operator="greaterThan">
      <formula>SUM(IF(ISNUMBER(K9),J9,0),IF(ISNUMBER(Q9),P9,0),IF(ISNUMBER(W9),V9,0))</formula>
    </cfRule>
  </conditionalFormatting>
  <conditionalFormatting sqref="I10">
    <cfRule type="cellIs" dxfId="53" priority="13" operator="lessThan">
      <formula>F10</formula>
    </cfRule>
  </conditionalFormatting>
  <conditionalFormatting sqref="I13">
    <cfRule type="cellIs" dxfId="52" priority="17" operator="lessThan">
      <formula>F13</formula>
    </cfRule>
  </conditionalFormatting>
  <conditionalFormatting sqref="I14">
    <cfRule type="cellIs" dxfId="51" priority="21" operator="lessThan">
      <formula>F14</formula>
    </cfRule>
  </conditionalFormatting>
  <conditionalFormatting sqref="I7">
    <cfRule type="cellIs" dxfId="50" priority="1" operator="lessThan">
      <formula>F7</formula>
    </cfRule>
  </conditionalFormatting>
  <conditionalFormatting sqref="I8">
    <cfRule type="cellIs" dxfId="49" priority="5" operator="lessThan">
      <formula>F8</formula>
    </cfRule>
  </conditionalFormatting>
  <conditionalFormatting sqref="I9">
    <cfRule type="cellIs" dxfId="48" priority="9" operator="lessThan">
      <formula>F9</formula>
    </cfRule>
  </conditionalFormatting>
  <conditionalFormatting sqref="J10">
    <cfRule type="expression" dxfId="47" priority="14">
      <formula>AND(NOT(ISBLANK(J10)),OR(I10="NonStk",J10&gt;I10))</formula>
    </cfRule>
  </conditionalFormatting>
  <conditionalFormatting sqref="J13">
    <cfRule type="expression" dxfId="46" priority="18">
      <formula>AND(NOT(ISBLANK(J13)),OR(I13="NonStk",J13&gt;I13))</formula>
    </cfRule>
  </conditionalFormatting>
  <conditionalFormatting sqref="J14">
    <cfRule type="expression" dxfId="45" priority="22">
      <formula>AND(NOT(ISBLANK(J14)),OR(I14="NonStk",J14&gt;I14))</formula>
    </cfRule>
  </conditionalFormatting>
  <conditionalFormatting sqref="J7">
    <cfRule type="expression" dxfId="44" priority="2">
      <formula>AND(NOT(ISBLANK(J7)),OR(I7="NonStk",J7&gt;I7))</formula>
    </cfRule>
  </conditionalFormatting>
  <conditionalFormatting sqref="J8">
    <cfRule type="expression" dxfId="43" priority="6">
      <formula>AND(NOT(ISBLANK(J8)),OR(I8="NonStk",J8&gt;I8))</formula>
    </cfRule>
  </conditionalFormatting>
  <conditionalFormatting sqref="J9">
    <cfRule type="expression" dxfId="42" priority="10">
      <formula>AND(NOT(ISBLANK(J9)),OR(I9="NonStk",J9&gt;I9))</formula>
    </cfRule>
  </conditionalFormatting>
  <conditionalFormatting sqref="K10">
    <cfRule type="cellIs" dxfId="41" priority="16" operator="lessThanOrEqual">
      <formula>G10</formula>
    </cfRule>
  </conditionalFormatting>
  <conditionalFormatting sqref="K13">
    <cfRule type="cellIs" dxfId="40" priority="20" operator="lessThanOrEqual">
      <formula>G13</formula>
    </cfRule>
  </conditionalFormatting>
  <conditionalFormatting sqref="K14">
    <cfRule type="cellIs" dxfId="39" priority="24" operator="lessThanOrEqual">
      <formula>G14</formula>
    </cfRule>
  </conditionalFormatting>
  <conditionalFormatting sqref="K7">
    <cfRule type="cellIs" dxfId="38" priority="4" operator="lessThanOrEqual">
      <formula>G7</formula>
    </cfRule>
  </conditionalFormatting>
  <conditionalFormatting sqref="K8">
    <cfRule type="cellIs" dxfId="37" priority="8" operator="lessThanOrEqual">
      <formula>G8</formula>
    </cfRule>
  </conditionalFormatting>
  <conditionalFormatting sqref="K9">
    <cfRule type="cellIs" dxfId="36" priority="12" operator="lessThanOrEqual">
      <formula>G9</formula>
    </cfRule>
  </conditionalFormatting>
  <conditionalFormatting sqref="M10">
    <cfRule type="cellIs" dxfId="35" priority="15" operator="lessThanOrEqual">
      <formula>H10</formula>
    </cfRule>
  </conditionalFormatting>
  <conditionalFormatting sqref="M13">
    <cfRule type="cellIs" dxfId="34" priority="19" operator="lessThanOrEqual">
      <formula>H13</formula>
    </cfRule>
  </conditionalFormatting>
  <conditionalFormatting sqref="M14">
    <cfRule type="cellIs" dxfId="33" priority="23" operator="lessThanOrEqual">
      <formula>H14</formula>
    </cfRule>
  </conditionalFormatting>
  <conditionalFormatting sqref="M7">
    <cfRule type="cellIs" dxfId="32" priority="3" operator="lessThanOrEqual">
      <formula>H7</formula>
    </cfRule>
  </conditionalFormatting>
  <conditionalFormatting sqref="M8">
    <cfRule type="cellIs" dxfId="31" priority="7" operator="lessThanOrEqual">
      <formula>H8</formula>
    </cfRule>
  </conditionalFormatting>
  <conditionalFormatting sqref="M9">
    <cfRule type="cellIs" dxfId="30" priority="11" operator="lessThanOrEqual">
      <formula>H9</formula>
    </cfRule>
  </conditionalFormatting>
  <conditionalFormatting sqref="O10">
    <cfRule type="cellIs" dxfId="29" priority="33" operator="lessThan">
      <formula>F10</formula>
    </cfRule>
  </conditionalFormatting>
  <conditionalFormatting sqref="O13">
    <cfRule type="cellIs" dxfId="28" priority="37" operator="lessThan">
      <formula>F13</formula>
    </cfRule>
  </conditionalFormatting>
  <conditionalFormatting sqref="O14">
    <cfRule type="cellIs" dxfId="27" priority="41" operator="lessThan">
      <formula>F14</formula>
    </cfRule>
  </conditionalFormatting>
  <conditionalFormatting sqref="O8">
    <cfRule type="cellIs" dxfId="26" priority="25" operator="lessThan">
      <formula>F8</formula>
    </cfRule>
  </conditionalFormatting>
  <conditionalFormatting sqref="O9">
    <cfRule type="cellIs" dxfId="25" priority="29" operator="lessThan">
      <formula>F9</formula>
    </cfRule>
  </conditionalFormatting>
  <conditionalFormatting sqref="P10">
    <cfRule type="expression" dxfId="24" priority="34">
      <formula>AND(NOT(ISBLANK(P10)),OR(O10="NonStk",P10&gt;O10))</formula>
    </cfRule>
  </conditionalFormatting>
  <conditionalFormatting sqref="P13">
    <cfRule type="expression" dxfId="23" priority="38">
      <formula>AND(NOT(ISBLANK(P13)),OR(O13="NonStk",P13&gt;O13))</formula>
    </cfRule>
  </conditionalFormatting>
  <conditionalFormatting sqref="P14">
    <cfRule type="expression" dxfId="22" priority="42">
      <formula>AND(NOT(ISBLANK(P14)),OR(O14="NonStk",P14&gt;O14))</formula>
    </cfRule>
  </conditionalFormatting>
  <conditionalFormatting sqref="P8">
    <cfRule type="expression" dxfId="21" priority="26">
      <formula>AND(NOT(ISBLANK(P8)),OR(O8="NonStk",P8&gt;O8))</formula>
    </cfRule>
  </conditionalFormatting>
  <conditionalFormatting sqref="P9">
    <cfRule type="expression" dxfId="20" priority="30">
      <formula>AND(NOT(ISBLANK(P9)),OR(O9="NonStk",P9&gt;O9))</formula>
    </cfRule>
  </conditionalFormatting>
  <conditionalFormatting sqref="Q10">
    <cfRule type="cellIs" dxfId="19" priority="36" operator="lessThanOrEqual">
      <formula>G10</formula>
    </cfRule>
  </conditionalFormatting>
  <conditionalFormatting sqref="Q13">
    <cfRule type="cellIs" dxfId="18" priority="40" operator="lessThanOrEqual">
      <formula>G13</formula>
    </cfRule>
  </conditionalFormatting>
  <conditionalFormatting sqref="Q14">
    <cfRule type="cellIs" dxfId="17" priority="44" operator="lessThanOrEqual">
      <formula>G14</formula>
    </cfRule>
  </conditionalFormatting>
  <conditionalFormatting sqref="Q8">
    <cfRule type="cellIs" dxfId="16" priority="28" operator="lessThanOrEqual">
      <formula>G8</formula>
    </cfRule>
  </conditionalFormatting>
  <conditionalFormatting sqref="Q9">
    <cfRule type="cellIs" dxfId="15" priority="32" operator="lessThanOrEqual">
      <formula>G9</formula>
    </cfRule>
  </conditionalFormatting>
  <conditionalFormatting sqref="S10">
    <cfRule type="cellIs" dxfId="14" priority="35" operator="lessThanOrEqual">
      <formula>H10</formula>
    </cfRule>
  </conditionalFormatting>
  <conditionalFormatting sqref="S13">
    <cfRule type="cellIs" dxfId="13" priority="39" operator="lessThanOrEqual">
      <formula>H13</formula>
    </cfRule>
  </conditionalFormatting>
  <conditionalFormatting sqref="S14">
    <cfRule type="cellIs" dxfId="12" priority="43" operator="lessThanOrEqual">
      <formula>H14</formula>
    </cfRule>
  </conditionalFormatting>
  <conditionalFormatting sqref="S8">
    <cfRule type="cellIs" dxfId="11" priority="27" operator="lessThanOrEqual">
      <formula>H8</formula>
    </cfRule>
  </conditionalFormatting>
  <conditionalFormatting sqref="S9">
    <cfRule type="cellIs" dxfId="10" priority="31" operator="lessThanOrEqual">
      <formula>H9</formula>
    </cfRule>
  </conditionalFormatting>
  <conditionalFormatting sqref="U13">
    <cfRule type="cellIs" dxfId="9" priority="45" operator="lessThan">
      <formula>F13</formula>
    </cfRule>
  </conditionalFormatting>
  <conditionalFormatting sqref="U14">
    <cfRule type="cellIs" dxfId="8" priority="50" operator="lessThan">
      <formula>F14</formula>
    </cfRule>
  </conditionalFormatting>
  <conditionalFormatting sqref="V13">
    <cfRule type="expression" dxfId="7" priority="46">
      <formula>AND(V13&gt;0,MOD(V13,X13)&lt;&gt;0)</formula>
    </cfRule>
    <cfRule type="expression" dxfId="6" priority="47">
      <formula>AND(NOT(ISBLANK(V13)),OR(U13="NonStk",V13&gt;U13))</formula>
    </cfRule>
  </conditionalFormatting>
  <conditionalFormatting sqref="V14">
    <cfRule type="expression" dxfId="5" priority="51">
      <formula>AND(V14&gt;0,MOD(V14,X14)&lt;&gt;0)</formula>
    </cfRule>
    <cfRule type="expression" dxfId="4" priority="52">
      <formula>AND(NOT(ISBLANK(V14)),OR(U14="NonStk",V14&gt;U14))</formula>
    </cfRule>
  </conditionalFormatting>
  <conditionalFormatting sqref="W13">
    <cfRule type="cellIs" dxfId="3" priority="49" operator="lessThanOrEqual">
      <formula>G13</formula>
    </cfRule>
  </conditionalFormatting>
  <conditionalFormatting sqref="W14">
    <cfRule type="cellIs" dxfId="2" priority="54" operator="lessThanOrEqual">
      <formula>G14</formula>
    </cfRule>
  </conditionalFormatting>
  <conditionalFormatting sqref="Y13">
    <cfRule type="cellIs" dxfId="1" priority="48" operator="lessThanOrEqual">
      <formula>H13</formula>
    </cfRule>
  </conditionalFormatting>
  <conditionalFormatting sqref="Y14">
    <cfRule type="cellIs" dxfId="0" priority="53" operator="lessThanOrEqual">
      <formula>H14</formula>
    </cfRule>
  </conditionalFormatting>
  <hyperlinks>
    <hyperlink ref="N7" r:id="rId1" xr:uid="{00000000-0004-0000-0000-000000000000}"/>
    <hyperlink ref="E8" r:id="rId2" xr:uid="{00000000-0004-0000-0000-000001000000}"/>
    <hyperlink ref="N8" r:id="rId3" xr:uid="{00000000-0004-0000-0000-000002000000}"/>
    <hyperlink ref="T8" r:id="rId4" xr:uid="{00000000-0004-0000-0000-000003000000}"/>
    <hyperlink ref="E9" r:id="rId5" xr:uid="{00000000-0004-0000-0000-000004000000}"/>
    <hyperlink ref="N9" r:id="rId6" xr:uid="{00000000-0004-0000-0000-000005000000}"/>
    <hyperlink ref="T9" r:id="rId7" xr:uid="{00000000-0004-0000-0000-000006000000}"/>
    <hyperlink ref="E10" r:id="rId8" xr:uid="{00000000-0004-0000-0000-000007000000}"/>
    <hyperlink ref="N10" r:id="rId9" xr:uid="{00000000-0004-0000-0000-000008000000}"/>
    <hyperlink ref="T10" r:id="rId10" xr:uid="{00000000-0004-0000-0000-000009000000}"/>
    <hyperlink ref="N13" r:id="rId11" xr:uid="{00000000-0004-0000-0000-00000A000000}"/>
    <hyperlink ref="T13" r:id="rId12" xr:uid="{00000000-0004-0000-0000-00000B000000}"/>
    <hyperlink ref="Z13" r:id="rId13" xr:uid="{00000000-0004-0000-0000-00000C000000}"/>
    <hyperlink ref="E14" r:id="rId14" xr:uid="{00000000-0004-0000-0000-00000D000000}"/>
    <hyperlink ref="N14" r:id="rId15" xr:uid="{00000000-0004-0000-0000-00000E000000}"/>
    <hyperlink ref="T14" r:id="rId16" xr:uid="{00000000-0004-0000-0000-00000F000000}"/>
    <hyperlink ref="Z14" r:id="rId17" xr:uid="{00000000-0004-0000-0000-000010000000}"/>
    <hyperlink ref="I16" r:id="rId18" xr:uid="{00000000-0004-0000-0000-000011000000}"/>
    <hyperlink ref="O16" r:id="rId19" xr:uid="{00000000-0004-0000-0000-000012000000}"/>
    <hyperlink ref="U16" r:id="rId20" xr:uid="{00000000-0004-0000-0000-000013000000}"/>
  </hyperlinks>
  <pageMargins left="0.7" right="0.7" top="0.75" bottom="0.75" header="0.3" footer="0.3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32-STEPPER-DRIVER-BOARD</vt:lpstr>
      <vt:lpstr>'32-STEPPER-DRIVER-BOARD'!BoardQty</vt:lpstr>
      <vt:lpstr>'32-STEPPER-DRIVER-BOARD'!PURCHASE_DESCRIPTION</vt:lpstr>
      <vt:lpstr>'32-STEPPER-DRIVER-BOARD'!TotalCost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Elliot Eickholtz</cp:lastModifiedBy>
  <dcterms:created xsi:type="dcterms:W3CDTF">2022-12-19T17:18:55Z</dcterms:created>
  <dcterms:modified xsi:type="dcterms:W3CDTF">2022-12-19T17:24:32Z</dcterms:modified>
</cp:coreProperties>
</file>