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94C78C39-C303-4B1B-A6E4-4A3B86FED327}" xr6:coauthVersionLast="36" xr6:coauthVersionMax="36" xr10:uidLastSave="{00000000-0000-0000-0000-000000000000}"/>
  <bookViews>
    <workbookView xWindow="0" yWindow="0" windowWidth="17400" windowHeight="5070" tabRatio="818" activeTab="13" xr2:uid="{243A9AC9-BD8F-4613-8BE8-718FFC368B67}"/>
  </bookViews>
  <sheets>
    <sheet name="unit" sheetId="1" r:id="rId1"/>
    <sheet name="wind" sheetId="2" r:id="rId2"/>
    <sheet name="load" sheetId="3" r:id="rId3"/>
    <sheet name="line" sheetId="5" r:id="rId4"/>
    <sheet name="node" sheetId="6" r:id="rId5"/>
    <sheet name="other" sheetId="4" r:id="rId6"/>
    <sheet name="IEQ_dfm" sheetId="13" r:id="rId7"/>
    <sheet name="IEQ_df60" sheetId="14" r:id="rId8"/>
    <sheet name="寿命损耗率函数" sheetId="9" r:id="rId9"/>
    <sheet name="寿命损耗率函数2" sheetId="16" r:id="rId10"/>
    <sheet name="碳排放强度函数" sheetId="10" r:id="rId11"/>
    <sheet name="机组造价" sheetId="17" r:id="rId12"/>
    <sheet name="成本曲线" sheetId="18" r:id="rId13"/>
    <sheet name="功率阶跃扰动" sheetId="19" r:id="rId1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7" i="19" l="1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8" i="4" l="1"/>
  <c r="B3" i="4" l="1"/>
  <c r="G57" i="1"/>
  <c r="H57" i="1"/>
  <c r="I57" i="1"/>
  <c r="J57" i="1"/>
  <c r="K57" i="1"/>
  <c r="L57" i="1"/>
  <c r="M57" i="1"/>
  <c r="F57" i="1"/>
  <c r="F54" i="1"/>
  <c r="B3" i="1"/>
  <c r="G9" i="1"/>
  <c r="H9" i="1"/>
  <c r="I9" i="1"/>
  <c r="J9" i="1"/>
  <c r="K9" i="1"/>
  <c r="L9" i="1"/>
  <c r="M9" i="1"/>
  <c r="F9" i="1"/>
  <c r="G8" i="1"/>
  <c r="H8" i="1"/>
  <c r="I8" i="1"/>
  <c r="J8" i="1"/>
  <c r="K8" i="1"/>
  <c r="L8" i="1"/>
  <c r="M8" i="1"/>
  <c r="F8" i="1"/>
  <c r="G7" i="1"/>
  <c r="H7" i="1"/>
  <c r="I7" i="1"/>
  <c r="J7" i="1"/>
  <c r="K7" i="1"/>
  <c r="L7" i="1"/>
  <c r="M7" i="1"/>
  <c r="F7" i="1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3" i="2"/>
  <c r="G3" i="2" s="1"/>
  <c r="E3" i="2"/>
  <c r="J3" i="2" s="1"/>
  <c r="H26" i="2" l="1"/>
  <c r="G26" i="2"/>
  <c r="L2" i="14"/>
  <c r="S18" i="14"/>
  <c r="O2" i="13"/>
  <c r="O12" i="13"/>
  <c r="S11" i="13"/>
  <c r="O18" i="14"/>
  <c r="N18" i="14"/>
  <c r="R18" i="14" s="1"/>
  <c r="M18" i="14"/>
  <c r="Q18" i="14" s="1"/>
  <c r="L18" i="14"/>
  <c r="P18" i="14" s="1"/>
  <c r="O17" i="14"/>
  <c r="S17" i="14" s="1"/>
  <c r="N17" i="14"/>
  <c r="R17" i="14" s="1"/>
  <c r="M17" i="14"/>
  <c r="Q17" i="14" s="1"/>
  <c r="L17" i="14"/>
  <c r="P17" i="14" s="1"/>
  <c r="O16" i="14"/>
  <c r="S16" i="14" s="1"/>
  <c r="N16" i="14"/>
  <c r="R16" i="14" s="1"/>
  <c r="M16" i="14"/>
  <c r="Q16" i="14" s="1"/>
  <c r="L16" i="14"/>
  <c r="P16" i="14" s="1"/>
  <c r="O15" i="14"/>
  <c r="S15" i="14" s="1"/>
  <c r="N15" i="14"/>
  <c r="R15" i="14" s="1"/>
  <c r="M15" i="14"/>
  <c r="Q15" i="14" s="1"/>
  <c r="L15" i="14"/>
  <c r="P15" i="14" s="1"/>
  <c r="O14" i="14"/>
  <c r="S14" i="14" s="1"/>
  <c r="N14" i="14"/>
  <c r="R14" i="14" s="1"/>
  <c r="M14" i="14"/>
  <c r="Q14" i="14" s="1"/>
  <c r="L14" i="14"/>
  <c r="P14" i="14" s="1"/>
  <c r="O13" i="14"/>
  <c r="S13" i="14" s="1"/>
  <c r="N13" i="14"/>
  <c r="R13" i="14" s="1"/>
  <c r="M13" i="14"/>
  <c r="Q13" i="14" s="1"/>
  <c r="L13" i="14"/>
  <c r="P13" i="14" s="1"/>
  <c r="O12" i="14"/>
  <c r="S12" i="14" s="1"/>
  <c r="N12" i="14"/>
  <c r="R12" i="14" s="1"/>
  <c r="M12" i="14"/>
  <c r="Q12" i="14" s="1"/>
  <c r="L12" i="14"/>
  <c r="P12" i="14" s="1"/>
  <c r="O11" i="14"/>
  <c r="S11" i="14" s="1"/>
  <c r="N11" i="14"/>
  <c r="R11" i="14" s="1"/>
  <c r="M11" i="14"/>
  <c r="Q11" i="14" s="1"/>
  <c r="L11" i="14"/>
  <c r="P11" i="14" s="1"/>
  <c r="O9" i="14"/>
  <c r="S9" i="14" s="1"/>
  <c r="N9" i="14"/>
  <c r="R9" i="14" s="1"/>
  <c r="M9" i="14"/>
  <c r="Q9" i="14" s="1"/>
  <c r="L9" i="14"/>
  <c r="P9" i="14" s="1"/>
  <c r="O8" i="14"/>
  <c r="S8" i="14" s="1"/>
  <c r="N8" i="14"/>
  <c r="R8" i="14" s="1"/>
  <c r="M8" i="14"/>
  <c r="Q8" i="14" s="1"/>
  <c r="L8" i="14"/>
  <c r="P8" i="14" s="1"/>
  <c r="O7" i="14"/>
  <c r="S7" i="14" s="1"/>
  <c r="N7" i="14"/>
  <c r="R7" i="14" s="1"/>
  <c r="M7" i="14"/>
  <c r="Q7" i="14" s="1"/>
  <c r="L7" i="14"/>
  <c r="P7" i="14" s="1"/>
  <c r="O6" i="14"/>
  <c r="S6" i="14" s="1"/>
  <c r="N6" i="14"/>
  <c r="R6" i="14" s="1"/>
  <c r="M6" i="14"/>
  <c r="Q6" i="14" s="1"/>
  <c r="L6" i="14"/>
  <c r="P6" i="14" s="1"/>
  <c r="O5" i="14"/>
  <c r="S5" i="14" s="1"/>
  <c r="N5" i="14"/>
  <c r="R5" i="14" s="1"/>
  <c r="M5" i="14"/>
  <c r="Q5" i="14" s="1"/>
  <c r="L5" i="14"/>
  <c r="P5" i="14" s="1"/>
  <c r="O4" i="14"/>
  <c r="S4" i="14" s="1"/>
  <c r="N4" i="14"/>
  <c r="R4" i="14" s="1"/>
  <c r="M4" i="14"/>
  <c r="Q4" i="14" s="1"/>
  <c r="L4" i="14"/>
  <c r="P4" i="14" s="1"/>
  <c r="O3" i="14"/>
  <c r="S3" i="14" s="1"/>
  <c r="N3" i="14"/>
  <c r="R3" i="14" s="1"/>
  <c r="M3" i="14"/>
  <c r="Q3" i="14" s="1"/>
  <c r="L3" i="14"/>
  <c r="P3" i="14" s="1"/>
  <c r="O2" i="14"/>
  <c r="S2" i="14" s="1"/>
  <c r="N2" i="14"/>
  <c r="R2" i="14" s="1"/>
  <c r="M2" i="14"/>
  <c r="Q2" i="14" s="1"/>
  <c r="P2" i="14"/>
  <c r="O9" i="13"/>
  <c r="S9" i="13" s="1"/>
  <c r="N9" i="13"/>
  <c r="R9" i="13" s="1"/>
  <c r="M9" i="13"/>
  <c r="Q9" i="13" s="1"/>
  <c r="L9" i="13"/>
  <c r="P9" i="13" s="1"/>
  <c r="O8" i="13"/>
  <c r="S8" i="13" s="1"/>
  <c r="N8" i="13"/>
  <c r="R8" i="13" s="1"/>
  <c r="M8" i="13"/>
  <c r="Q8" i="13" s="1"/>
  <c r="L8" i="13"/>
  <c r="P8" i="13" s="1"/>
  <c r="O7" i="13"/>
  <c r="S7" i="13" s="1"/>
  <c r="N7" i="13"/>
  <c r="R7" i="13" s="1"/>
  <c r="M7" i="13"/>
  <c r="Q7" i="13" s="1"/>
  <c r="L7" i="13"/>
  <c r="P7" i="13" s="1"/>
  <c r="O6" i="13"/>
  <c r="S6" i="13" s="1"/>
  <c r="N6" i="13"/>
  <c r="R6" i="13" s="1"/>
  <c r="M6" i="13"/>
  <c r="Q6" i="13" s="1"/>
  <c r="L6" i="13"/>
  <c r="P6" i="13" s="1"/>
  <c r="O5" i="13"/>
  <c r="S5" i="13" s="1"/>
  <c r="N5" i="13"/>
  <c r="R5" i="13" s="1"/>
  <c r="M5" i="13"/>
  <c r="Q5" i="13" s="1"/>
  <c r="L5" i="13"/>
  <c r="P5" i="13" s="1"/>
  <c r="O4" i="13"/>
  <c r="S4" i="13" s="1"/>
  <c r="N4" i="13"/>
  <c r="R4" i="13" s="1"/>
  <c r="M4" i="13"/>
  <c r="Q4" i="13" s="1"/>
  <c r="L4" i="13"/>
  <c r="P4" i="13" s="1"/>
  <c r="O3" i="13"/>
  <c r="S3" i="13" s="1"/>
  <c r="N3" i="13"/>
  <c r="R3" i="13" s="1"/>
  <c r="M3" i="13"/>
  <c r="Q3" i="13" s="1"/>
  <c r="L3" i="13"/>
  <c r="P3" i="13" s="1"/>
  <c r="S2" i="13"/>
  <c r="N2" i="13"/>
  <c r="R2" i="13" s="1"/>
  <c r="M2" i="13"/>
  <c r="Q2" i="13" s="1"/>
  <c r="L2" i="13"/>
  <c r="P2" i="13" s="1"/>
  <c r="P18" i="13"/>
  <c r="S12" i="13"/>
  <c r="O13" i="13"/>
  <c r="S13" i="13" s="1"/>
  <c r="O14" i="13"/>
  <c r="S14" i="13" s="1"/>
  <c r="O15" i="13"/>
  <c r="S15" i="13" s="1"/>
  <c r="O16" i="13"/>
  <c r="S16" i="13" s="1"/>
  <c r="O17" i="13"/>
  <c r="S17" i="13" s="1"/>
  <c r="O18" i="13"/>
  <c r="S18" i="13" s="1"/>
  <c r="O11" i="13"/>
  <c r="N12" i="13"/>
  <c r="R12" i="13" s="1"/>
  <c r="N13" i="13"/>
  <c r="R13" i="13" s="1"/>
  <c r="N14" i="13"/>
  <c r="R14" i="13" s="1"/>
  <c r="N15" i="13"/>
  <c r="R15" i="13" s="1"/>
  <c r="N16" i="13"/>
  <c r="R16" i="13" s="1"/>
  <c r="N17" i="13"/>
  <c r="R17" i="13" s="1"/>
  <c r="N18" i="13"/>
  <c r="R18" i="13" s="1"/>
  <c r="N11" i="13"/>
  <c r="R11" i="13" s="1"/>
  <c r="M12" i="13"/>
  <c r="Q12" i="13" s="1"/>
  <c r="M13" i="13"/>
  <c r="Q13" i="13" s="1"/>
  <c r="M14" i="13"/>
  <c r="Q14" i="13" s="1"/>
  <c r="M15" i="13"/>
  <c r="Q15" i="13" s="1"/>
  <c r="M16" i="13"/>
  <c r="Q16" i="13" s="1"/>
  <c r="M17" i="13"/>
  <c r="Q17" i="13" s="1"/>
  <c r="M18" i="13"/>
  <c r="Q18" i="13" s="1"/>
  <c r="M11" i="13"/>
  <c r="Q11" i="13" s="1"/>
  <c r="L18" i="13"/>
  <c r="L12" i="13"/>
  <c r="P12" i="13" s="1"/>
  <c r="L13" i="13"/>
  <c r="P13" i="13" s="1"/>
  <c r="L14" i="13"/>
  <c r="P14" i="13" s="1"/>
  <c r="L15" i="13"/>
  <c r="P15" i="13" s="1"/>
  <c r="L16" i="13"/>
  <c r="P16" i="13" s="1"/>
  <c r="L17" i="13"/>
  <c r="P17" i="13" s="1"/>
  <c r="L11" i="13"/>
  <c r="P11" i="1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F3" i="18" l="1"/>
  <c r="C4" i="18" l="1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3" i="18"/>
  <c r="F11" i="18" l="1"/>
  <c r="F19" i="18"/>
  <c r="F27" i="18"/>
  <c r="F35" i="18"/>
  <c r="F43" i="18"/>
  <c r="F51" i="18"/>
  <c r="F59" i="18"/>
  <c r="F67" i="18"/>
  <c r="F75" i="18"/>
  <c r="F4" i="18"/>
  <c r="F5" i="18"/>
  <c r="F6" i="18"/>
  <c r="F7" i="18"/>
  <c r="F8" i="18"/>
  <c r="F9" i="18"/>
  <c r="F10" i="18"/>
  <c r="F12" i="18"/>
  <c r="F13" i="18"/>
  <c r="F14" i="18"/>
  <c r="F15" i="18"/>
  <c r="F16" i="18"/>
  <c r="F17" i="18"/>
  <c r="F18" i="18"/>
  <c r="F20" i="18"/>
  <c r="F21" i="18"/>
  <c r="F22" i="18"/>
  <c r="F23" i="18"/>
  <c r="F24" i="18"/>
  <c r="F25" i="18"/>
  <c r="F26" i="18"/>
  <c r="F28" i="18"/>
  <c r="F29" i="18"/>
  <c r="F30" i="18"/>
  <c r="F31" i="18"/>
  <c r="F32" i="18"/>
  <c r="F33" i="18"/>
  <c r="F34" i="18"/>
  <c r="F36" i="18"/>
  <c r="F37" i="18"/>
  <c r="F38" i="18"/>
  <c r="F39" i="18"/>
  <c r="F40" i="18"/>
  <c r="F41" i="18"/>
  <c r="F42" i="18"/>
  <c r="F44" i="18"/>
  <c r="F45" i="18"/>
  <c r="F46" i="18"/>
  <c r="F47" i="18"/>
  <c r="F48" i="18"/>
  <c r="F49" i="18"/>
  <c r="F50" i="18"/>
  <c r="F52" i="18"/>
  <c r="F53" i="18"/>
  <c r="F54" i="18"/>
  <c r="F55" i="18"/>
  <c r="F56" i="18"/>
  <c r="F57" i="18"/>
  <c r="F58" i="18"/>
  <c r="F60" i="18"/>
  <c r="F61" i="18"/>
  <c r="F62" i="18"/>
  <c r="F63" i="18"/>
  <c r="F64" i="18"/>
  <c r="F65" i="18"/>
  <c r="F66" i="18"/>
  <c r="F68" i="18"/>
  <c r="F69" i="18"/>
  <c r="F70" i="18"/>
  <c r="F71" i="18"/>
  <c r="F72" i="18"/>
  <c r="F73" i="18"/>
  <c r="F74" i="18"/>
  <c r="F76" i="18"/>
  <c r="F77" i="18"/>
  <c r="F78" i="18"/>
  <c r="F79" i="18"/>
  <c r="F80" i="18"/>
  <c r="F81" i="18"/>
  <c r="F82" i="18"/>
  <c r="F102" i="18" l="1"/>
  <c r="F97" i="18"/>
  <c r="F142" i="18"/>
  <c r="F109" i="18"/>
  <c r="E114" i="18"/>
  <c r="E115" i="18"/>
  <c r="E116" i="18"/>
  <c r="F116" i="18" s="1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F128" i="18" s="1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13" i="18"/>
  <c r="D84" i="18"/>
  <c r="F84" i="18" s="1"/>
  <c r="D85" i="18"/>
  <c r="F85" i="18" s="1"/>
  <c r="D86" i="18"/>
  <c r="F86" i="18" s="1"/>
  <c r="D87" i="18"/>
  <c r="F87" i="18" s="1"/>
  <c r="D88" i="18"/>
  <c r="F88" i="18" s="1"/>
  <c r="D89" i="18"/>
  <c r="F89" i="18" s="1"/>
  <c r="D90" i="18"/>
  <c r="F90" i="18" s="1"/>
  <c r="D91" i="18"/>
  <c r="F91" i="18" s="1"/>
  <c r="D92" i="18"/>
  <c r="F92" i="18" s="1"/>
  <c r="D93" i="18"/>
  <c r="F93" i="18" s="1"/>
  <c r="D94" i="18"/>
  <c r="F94" i="18" s="1"/>
  <c r="D95" i="18"/>
  <c r="F95" i="18" s="1"/>
  <c r="D96" i="18"/>
  <c r="F96" i="18" s="1"/>
  <c r="D97" i="18"/>
  <c r="D98" i="18"/>
  <c r="F98" i="18" s="1"/>
  <c r="D99" i="18"/>
  <c r="F99" i="18" s="1"/>
  <c r="D100" i="18"/>
  <c r="F100" i="18" s="1"/>
  <c r="D101" i="18"/>
  <c r="F101" i="18" s="1"/>
  <c r="D102" i="18"/>
  <c r="D103" i="18"/>
  <c r="F103" i="18" s="1"/>
  <c r="D104" i="18"/>
  <c r="F104" i="18" s="1"/>
  <c r="D105" i="18"/>
  <c r="F105" i="18" s="1"/>
  <c r="D106" i="18"/>
  <c r="F106" i="18" s="1"/>
  <c r="D107" i="18"/>
  <c r="F107" i="18" s="1"/>
  <c r="D108" i="18"/>
  <c r="F108" i="18" s="1"/>
  <c r="D109" i="18"/>
  <c r="D110" i="18"/>
  <c r="F110" i="18" s="1"/>
  <c r="D111" i="18"/>
  <c r="F111" i="18" s="1"/>
  <c r="D112" i="18"/>
  <c r="F112" i="18" s="1"/>
  <c r="D113" i="18"/>
  <c r="D114" i="18"/>
  <c r="F114" i="18" s="1"/>
  <c r="D115" i="18"/>
  <c r="F115" i="18" s="1"/>
  <c r="D116" i="18"/>
  <c r="D117" i="18"/>
  <c r="F117" i="18" s="1"/>
  <c r="D118" i="18"/>
  <c r="F118" i="18" s="1"/>
  <c r="D119" i="18"/>
  <c r="F119" i="18" s="1"/>
  <c r="D120" i="18"/>
  <c r="D121" i="18"/>
  <c r="F121" i="18" s="1"/>
  <c r="D122" i="18"/>
  <c r="F122" i="18" s="1"/>
  <c r="D123" i="18"/>
  <c r="F123" i="18" s="1"/>
  <c r="D124" i="18"/>
  <c r="D125" i="18"/>
  <c r="F125" i="18" s="1"/>
  <c r="D126" i="18"/>
  <c r="F126" i="18" s="1"/>
  <c r="D127" i="18"/>
  <c r="F127" i="18" s="1"/>
  <c r="D128" i="18"/>
  <c r="D129" i="18"/>
  <c r="F129" i="18" s="1"/>
  <c r="D130" i="18"/>
  <c r="F130" i="18" s="1"/>
  <c r="D131" i="18"/>
  <c r="F131" i="18" s="1"/>
  <c r="D132" i="18"/>
  <c r="D133" i="18"/>
  <c r="F133" i="18" s="1"/>
  <c r="D134" i="18"/>
  <c r="F134" i="18" s="1"/>
  <c r="D135" i="18"/>
  <c r="F135" i="18" s="1"/>
  <c r="D136" i="18"/>
  <c r="D137" i="18"/>
  <c r="F137" i="18" s="1"/>
  <c r="D138" i="18"/>
  <c r="F138" i="18" s="1"/>
  <c r="D139" i="18"/>
  <c r="F139" i="18" s="1"/>
  <c r="D140" i="18"/>
  <c r="D141" i="18"/>
  <c r="F141" i="18" s="1"/>
  <c r="D142" i="18"/>
  <c r="D143" i="18"/>
  <c r="F143" i="18" s="1"/>
  <c r="F140" i="18" l="1"/>
  <c r="F132" i="18"/>
  <c r="F124" i="18"/>
  <c r="F113" i="18"/>
  <c r="F136" i="18"/>
  <c r="F120" i="18"/>
  <c r="D83" i="18"/>
  <c r="F83" i="18" s="1"/>
  <c r="C2" i="16" l="1"/>
  <c r="C3" i="16"/>
  <c r="C4" i="16"/>
  <c r="C5" i="16"/>
  <c r="C6" i="16"/>
  <c r="C7" i="16"/>
  <c r="C15" i="17"/>
  <c r="C16" i="17"/>
  <c r="C17" i="17"/>
  <c r="C18" i="17"/>
  <c r="C19" i="17"/>
  <c r="C14" i="17"/>
  <c r="C3" i="17"/>
  <c r="C4" i="17"/>
  <c r="C5" i="17"/>
  <c r="C6" i="17"/>
  <c r="C7" i="17"/>
  <c r="C8" i="17"/>
  <c r="C9" i="17"/>
  <c r="C10" i="17"/>
  <c r="C11" i="17"/>
  <c r="C2" i="17"/>
  <c r="F9" i="10" l="1"/>
  <c r="C9" i="10"/>
  <c r="F8" i="10"/>
  <c r="C8" i="10"/>
  <c r="F7" i="10"/>
  <c r="C7" i="10"/>
  <c r="F6" i="10"/>
  <c r="C6" i="10"/>
  <c r="F5" i="10"/>
  <c r="C5" i="10"/>
  <c r="F4" i="10"/>
  <c r="C4" i="10"/>
  <c r="F3" i="10"/>
  <c r="C3" i="10"/>
  <c r="B93" i="9"/>
  <c r="C93" i="9" s="1"/>
  <c r="B92" i="9"/>
  <c r="C92" i="9" s="1"/>
  <c r="B91" i="9"/>
  <c r="C91" i="9" s="1"/>
  <c r="B90" i="9"/>
  <c r="C90" i="9" s="1"/>
  <c r="B89" i="9"/>
  <c r="C89" i="9" s="1"/>
  <c r="B88" i="9"/>
  <c r="C88" i="9" s="1"/>
  <c r="B87" i="9"/>
  <c r="C87" i="9" s="1"/>
  <c r="B86" i="9"/>
  <c r="C86" i="9" s="1"/>
  <c r="B85" i="9"/>
  <c r="C85" i="9" s="1"/>
  <c r="B84" i="9"/>
  <c r="C84" i="9" s="1"/>
  <c r="B83" i="9"/>
  <c r="C83" i="9" s="1"/>
  <c r="B82" i="9"/>
  <c r="C82" i="9" s="1"/>
  <c r="B81" i="9"/>
  <c r="C81" i="9" s="1"/>
  <c r="B80" i="9"/>
  <c r="C80" i="9" s="1"/>
  <c r="B79" i="9"/>
  <c r="C79" i="9" s="1"/>
  <c r="C78" i="9"/>
  <c r="B78" i="9"/>
  <c r="B77" i="9"/>
  <c r="C77" i="9" s="1"/>
  <c r="B76" i="9"/>
  <c r="C76" i="9" s="1"/>
  <c r="B75" i="9"/>
  <c r="C75" i="9" s="1"/>
  <c r="B74" i="9"/>
  <c r="C74" i="9" s="1"/>
  <c r="B73" i="9"/>
  <c r="C73" i="9" s="1"/>
  <c r="B72" i="9"/>
  <c r="C72" i="9" s="1"/>
  <c r="B71" i="9"/>
  <c r="C71" i="9" s="1"/>
  <c r="B70" i="9"/>
  <c r="C70" i="9" s="1"/>
  <c r="B69" i="9"/>
  <c r="C69" i="9" s="1"/>
  <c r="B68" i="9"/>
  <c r="C68" i="9" s="1"/>
  <c r="B67" i="9"/>
  <c r="C67" i="9" s="1"/>
  <c r="C66" i="9"/>
  <c r="B66" i="9"/>
  <c r="B65" i="9"/>
  <c r="C65" i="9" s="1"/>
  <c r="B64" i="9"/>
  <c r="C64" i="9" s="1"/>
  <c r="E63" i="9"/>
  <c r="F63" i="9" s="1"/>
  <c r="C63" i="9"/>
  <c r="B63" i="9"/>
  <c r="E62" i="9"/>
  <c r="F62" i="9" s="1"/>
  <c r="B62" i="9"/>
  <c r="C62" i="9" s="1"/>
  <c r="E61" i="9"/>
  <c r="F61" i="9" s="1"/>
  <c r="B61" i="9"/>
  <c r="C61" i="9" s="1"/>
  <c r="E60" i="9"/>
  <c r="F60" i="9" s="1"/>
  <c r="B60" i="9"/>
  <c r="C60" i="9" s="1"/>
  <c r="E59" i="9"/>
  <c r="F59" i="9" s="1"/>
  <c r="B59" i="9"/>
  <c r="C59" i="9" s="1"/>
  <c r="E58" i="9"/>
  <c r="F58" i="9" s="1"/>
  <c r="B58" i="9"/>
  <c r="C58" i="9" s="1"/>
  <c r="E57" i="9"/>
  <c r="F57" i="9" s="1"/>
  <c r="B57" i="9"/>
  <c r="C57" i="9" s="1"/>
  <c r="E56" i="9"/>
  <c r="F56" i="9" s="1"/>
  <c r="B56" i="9"/>
  <c r="C56" i="9" s="1"/>
  <c r="E55" i="9"/>
  <c r="F55" i="9" s="1"/>
  <c r="C55" i="9"/>
  <c r="B55" i="9"/>
  <c r="E54" i="9"/>
  <c r="F54" i="9" s="1"/>
  <c r="B54" i="9"/>
  <c r="C54" i="9" s="1"/>
  <c r="E53" i="9"/>
  <c r="F53" i="9" s="1"/>
  <c r="B53" i="9"/>
  <c r="C53" i="9" s="1"/>
  <c r="E52" i="9"/>
  <c r="F52" i="9" s="1"/>
  <c r="B52" i="9"/>
  <c r="C52" i="9" s="1"/>
  <c r="E51" i="9"/>
  <c r="F51" i="9" s="1"/>
  <c r="B51" i="9"/>
  <c r="C51" i="9" s="1"/>
  <c r="E50" i="9"/>
  <c r="F50" i="9" s="1"/>
  <c r="B50" i="9"/>
  <c r="C50" i="9" s="1"/>
  <c r="E49" i="9"/>
  <c r="F49" i="9" s="1"/>
  <c r="C49" i="9"/>
  <c r="B49" i="9"/>
  <c r="E48" i="9"/>
  <c r="F48" i="9" s="1"/>
  <c r="B48" i="9"/>
  <c r="C48" i="9" s="1"/>
  <c r="E47" i="9"/>
  <c r="F47" i="9" s="1"/>
  <c r="C47" i="9"/>
  <c r="B47" i="9"/>
  <c r="E46" i="9"/>
  <c r="F46" i="9" s="1"/>
  <c r="B46" i="9"/>
  <c r="C46" i="9" s="1"/>
  <c r="E45" i="9"/>
  <c r="F45" i="9" s="1"/>
  <c r="B45" i="9"/>
  <c r="C45" i="9" s="1"/>
  <c r="E44" i="9"/>
  <c r="F44" i="9" s="1"/>
  <c r="B44" i="9"/>
  <c r="C44" i="9" s="1"/>
  <c r="E43" i="9"/>
  <c r="F43" i="9" s="1"/>
  <c r="B43" i="9"/>
  <c r="C43" i="9" s="1"/>
  <c r="E42" i="9"/>
  <c r="F42" i="9" s="1"/>
  <c r="B42" i="9"/>
  <c r="C42" i="9" s="1"/>
  <c r="E41" i="9"/>
  <c r="F41" i="9" s="1"/>
  <c r="B41" i="9"/>
  <c r="C41" i="9" s="1"/>
  <c r="E40" i="9"/>
  <c r="F40" i="9" s="1"/>
  <c r="B40" i="9"/>
  <c r="C40" i="9" s="1"/>
  <c r="E39" i="9"/>
  <c r="F39" i="9" s="1"/>
  <c r="C39" i="9"/>
  <c r="B39" i="9"/>
  <c r="E38" i="9"/>
  <c r="F38" i="9" s="1"/>
  <c r="B38" i="9"/>
  <c r="C38" i="9" s="1"/>
  <c r="E37" i="9"/>
  <c r="F37" i="9" s="1"/>
  <c r="B37" i="9"/>
  <c r="C37" i="9" s="1"/>
  <c r="E36" i="9"/>
  <c r="F36" i="9" s="1"/>
  <c r="B36" i="9"/>
  <c r="C36" i="9" s="1"/>
  <c r="E35" i="9"/>
  <c r="F35" i="9" s="1"/>
  <c r="B35" i="9"/>
  <c r="C35" i="9" s="1"/>
  <c r="E34" i="9"/>
  <c r="F34" i="9" s="1"/>
  <c r="B34" i="9"/>
  <c r="C34" i="9" s="1"/>
  <c r="E33" i="9"/>
  <c r="F33" i="9" s="1"/>
  <c r="C33" i="9"/>
  <c r="B33" i="9"/>
  <c r="E32" i="9"/>
  <c r="F32" i="9" s="1"/>
  <c r="B32" i="9"/>
  <c r="C32" i="9" s="1"/>
  <c r="E31" i="9"/>
  <c r="F31" i="9" s="1"/>
  <c r="C31" i="9"/>
  <c r="B31" i="9"/>
  <c r="E30" i="9"/>
  <c r="F30" i="9" s="1"/>
  <c r="B30" i="9"/>
  <c r="C30" i="9" s="1"/>
  <c r="E29" i="9"/>
  <c r="F29" i="9" s="1"/>
  <c r="B29" i="9"/>
  <c r="C29" i="9" s="1"/>
  <c r="E28" i="9"/>
  <c r="F28" i="9" s="1"/>
  <c r="B28" i="9"/>
  <c r="C28" i="9" s="1"/>
  <c r="E27" i="9"/>
  <c r="F27" i="9" s="1"/>
  <c r="B27" i="9"/>
  <c r="C27" i="9" s="1"/>
  <c r="E26" i="9"/>
  <c r="F26" i="9" s="1"/>
  <c r="B26" i="9"/>
  <c r="C26" i="9" s="1"/>
  <c r="E25" i="9"/>
  <c r="F25" i="9" s="1"/>
  <c r="B25" i="9"/>
  <c r="C25" i="9" s="1"/>
  <c r="E24" i="9"/>
  <c r="F24" i="9" s="1"/>
  <c r="B24" i="9"/>
  <c r="C24" i="9" s="1"/>
  <c r="E23" i="9"/>
  <c r="F23" i="9" s="1"/>
  <c r="C23" i="9"/>
  <c r="B23" i="9"/>
  <c r="E22" i="9"/>
  <c r="F22" i="9" s="1"/>
  <c r="B22" i="9"/>
  <c r="C22" i="9" s="1"/>
  <c r="E21" i="9"/>
  <c r="F21" i="9" s="1"/>
  <c r="B21" i="9"/>
  <c r="C21" i="9" s="1"/>
  <c r="E20" i="9"/>
  <c r="F20" i="9" s="1"/>
  <c r="B20" i="9"/>
  <c r="C20" i="9" s="1"/>
  <c r="E19" i="9"/>
  <c r="F19" i="9" s="1"/>
  <c r="B19" i="9"/>
  <c r="C19" i="9" s="1"/>
  <c r="E18" i="9"/>
  <c r="F18" i="9" s="1"/>
  <c r="B18" i="9"/>
  <c r="C18" i="9" s="1"/>
  <c r="E17" i="9"/>
  <c r="F17" i="9" s="1"/>
  <c r="C17" i="9"/>
  <c r="B17" i="9"/>
  <c r="E16" i="9"/>
  <c r="F16" i="9" s="1"/>
  <c r="B16" i="9"/>
  <c r="C16" i="9" s="1"/>
  <c r="E15" i="9"/>
  <c r="F15" i="9" s="1"/>
  <c r="C15" i="9"/>
  <c r="B15" i="9"/>
  <c r="E14" i="9"/>
  <c r="F14" i="9" s="1"/>
  <c r="B14" i="9"/>
  <c r="C14" i="9" s="1"/>
  <c r="E13" i="9"/>
  <c r="F13" i="9" s="1"/>
  <c r="B13" i="9"/>
  <c r="C13" i="9" s="1"/>
  <c r="E12" i="9"/>
  <c r="F12" i="9" s="1"/>
  <c r="B12" i="9"/>
  <c r="C12" i="9" s="1"/>
  <c r="E11" i="9"/>
  <c r="F11" i="9" s="1"/>
  <c r="B11" i="9"/>
  <c r="C11" i="9" s="1"/>
  <c r="E10" i="9"/>
  <c r="F10" i="9" s="1"/>
  <c r="B10" i="9"/>
  <c r="C10" i="9" s="1"/>
  <c r="E9" i="9"/>
  <c r="F9" i="9" s="1"/>
  <c r="C9" i="9"/>
  <c r="B9" i="9"/>
  <c r="E8" i="9"/>
  <c r="F8" i="9" s="1"/>
  <c r="B8" i="9"/>
  <c r="C8" i="9" s="1"/>
  <c r="E7" i="9"/>
  <c r="F7" i="9" s="1"/>
  <c r="C7" i="9"/>
  <c r="B7" i="9"/>
  <c r="E6" i="9"/>
  <c r="F6" i="9" s="1"/>
  <c r="B6" i="9"/>
  <c r="C6" i="9" s="1"/>
  <c r="E5" i="9"/>
  <c r="F5" i="9" s="1"/>
  <c r="B5" i="9"/>
  <c r="C5" i="9" s="1"/>
  <c r="E4" i="9"/>
  <c r="F4" i="9" s="1"/>
  <c r="B4" i="9"/>
  <c r="C4" i="9" s="1"/>
  <c r="E3" i="9"/>
  <c r="F3" i="9" s="1"/>
  <c r="B3" i="9"/>
  <c r="C3" i="9" s="1"/>
  <c r="B13" i="4"/>
  <c r="B9" i="4"/>
  <c r="B7" i="4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J26" i="2"/>
  <c r="I26" i="2"/>
  <c r="F26" i="2"/>
  <c r="J25" i="2"/>
  <c r="I25" i="2"/>
  <c r="H25" i="2"/>
  <c r="G25" i="2"/>
  <c r="F25" i="2"/>
  <c r="J24" i="2"/>
  <c r="I24" i="2"/>
  <c r="H24" i="2"/>
  <c r="G24" i="2"/>
  <c r="F24" i="2"/>
  <c r="J23" i="2"/>
  <c r="I23" i="2"/>
  <c r="H23" i="2"/>
  <c r="G23" i="2"/>
  <c r="F23" i="2"/>
  <c r="J22" i="2"/>
  <c r="I22" i="2"/>
  <c r="H22" i="2"/>
  <c r="G22" i="2"/>
  <c r="F22" i="2"/>
  <c r="J21" i="2"/>
  <c r="I21" i="2"/>
  <c r="H21" i="2"/>
  <c r="G21" i="2"/>
  <c r="F21" i="2"/>
  <c r="J20" i="2"/>
  <c r="I20" i="2"/>
  <c r="H20" i="2"/>
  <c r="G20" i="2"/>
  <c r="F20" i="2"/>
  <c r="J19" i="2"/>
  <c r="I19" i="2"/>
  <c r="H19" i="2"/>
  <c r="G19" i="2"/>
  <c r="F19" i="2"/>
  <c r="J18" i="2"/>
  <c r="I18" i="2"/>
  <c r="H18" i="2"/>
  <c r="G18" i="2"/>
  <c r="F18" i="2"/>
  <c r="J17" i="2"/>
  <c r="I17" i="2"/>
  <c r="H17" i="2"/>
  <c r="G17" i="2"/>
  <c r="F17" i="2"/>
  <c r="J16" i="2"/>
  <c r="I16" i="2"/>
  <c r="H16" i="2"/>
  <c r="G16" i="2"/>
  <c r="F16" i="2"/>
  <c r="J15" i="2"/>
  <c r="I15" i="2"/>
  <c r="H15" i="2"/>
  <c r="G15" i="2"/>
  <c r="F15" i="2"/>
  <c r="J14" i="2"/>
  <c r="I14" i="2"/>
  <c r="H14" i="2"/>
  <c r="G14" i="2"/>
  <c r="F14" i="2"/>
  <c r="J13" i="2"/>
  <c r="I13" i="2"/>
  <c r="H13" i="2"/>
  <c r="G13" i="2"/>
  <c r="F13" i="2"/>
  <c r="J12" i="2"/>
  <c r="I12" i="2"/>
  <c r="H12" i="2"/>
  <c r="G12" i="2"/>
  <c r="F12" i="2"/>
  <c r="J11" i="2"/>
  <c r="I11" i="2"/>
  <c r="H11" i="2"/>
  <c r="G11" i="2"/>
  <c r="F11" i="2"/>
  <c r="J10" i="2"/>
  <c r="I10" i="2"/>
  <c r="H10" i="2"/>
  <c r="G10" i="2"/>
  <c r="F10" i="2"/>
  <c r="J9" i="2"/>
  <c r="I9" i="2"/>
  <c r="H9" i="2"/>
  <c r="G9" i="2"/>
  <c r="F9" i="2"/>
  <c r="J8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I3" i="2"/>
  <c r="H3" i="2"/>
  <c r="F3" i="2"/>
  <c r="M48" i="1"/>
  <c r="L48" i="1"/>
  <c r="K48" i="1"/>
  <c r="J48" i="1"/>
  <c r="I48" i="1"/>
  <c r="H48" i="1"/>
  <c r="G48" i="1"/>
  <c r="F48" i="1"/>
  <c r="M30" i="1"/>
  <c r="L30" i="1"/>
  <c r="K30" i="1"/>
  <c r="J30" i="1"/>
  <c r="I30" i="1"/>
  <c r="H30" i="1"/>
  <c r="G30" i="1"/>
  <c r="F30" i="1"/>
  <c r="M27" i="1"/>
  <c r="M28" i="1" s="1"/>
  <c r="L27" i="1"/>
  <c r="L28" i="1" s="1"/>
  <c r="K27" i="1"/>
  <c r="K28" i="1" s="1"/>
  <c r="J27" i="1"/>
  <c r="J28" i="1" s="1"/>
  <c r="I27" i="1"/>
  <c r="I28" i="1" s="1"/>
  <c r="H27" i="1"/>
  <c r="H28" i="1" s="1"/>
  <c r="G27" i="1"/>
  <c r="G28" i="1" s="1"/>
  <c r="F27" i="1"/>
  <c r="F28" i="1" s="1"/>
  <c r="M18" i="1"/>
  <c r="M19" i="1" s="1"/>
  <c r="L18" i="1"/>
  <c r="L19" i="1" s="1"/>
  <c r="K18" i="1"/>
  <c r="K19" i="1" s="1"/>
  <c r="J18" i="1"/>
  <c r="J19" i="1" s="1"/>
  <c r="I18" i="1"/>
  <c r="I19" i="1" s="1"/>
  <c r="H18" i="1"/>
  <c r="H19" i="1" s="1"/>
  <c r="G18" i="1"/>
  <c r="G19" i="1" s="1"/>
  <c r="F18" i="1"/>
  <c r="F19" i="1" s="1"/>
  <c r="Q8" i="1"/>
  <c r="Q12" i="1" s="1"/>
  <c r="P8" i="1"/>
  <c r="P12" i="1" s="1"/>
  <c r="Q7" i="1"/>
  <c r="Q9" i="1" s="1"/>
  <c r="P7" i="1"/>
  <c r="P10" i="1" s="1"/>
  <c r="M6" i="1"/>
  <c r="L6" i="1"/>
  <c r="K6" i="1"/>
  <c r="J6" i="1"/>
  <c r="I6" i="1"/>
  <c r="H6" i="1"/>
  <c r="G6" i="1"/>
  <c r="F6" i="1"/>
  <c r="M5" i="1"/>
  <c r="L5" i="1"/>
  <c r="K5" i="1"/>
  <c r="J5" i="1"/>
  <c r="I5" i="1"/>
  <c r="H5" i="1"/>
  <c r="G5" i="1"/>
  <c r="F5" i="1"/>
  <c r="M4" i="1"/>
  <c r="L4" i="1"/>
  <c r="K4" i="1"/>
  <c r="J4" i="1"/>
  <c r="I4" i="1"/>
  <c r="H4" i="1"/>
  <c r="G4" i="1"/>
  <c r="F4" i="1"/>
  <c r="B4" i="1"/>
  <c r="B2" i="1"/>
  <c r="P9" i="1" l="1"/>
  <c r="B5" i="1" s="1"/>
  <c r="B8" i="1" s="1"/>
  <c r="Q10" i="1"/>
  <c r="B7" i="1"/>
  <c r="I55" i="1"/>
  <c r="I54" i="1"/>
  <c r="L55" i="1"/>
  <c r="L54" i="1"/>
  <c r="P11" i="1"/>
  <c r="K55" i="1"/>
  <c r="K54" i="1"/>
  <c r="L56" i="1"/>
  <c r="B6" i="1"/>
  <c r="M55" i="1"/>
  <c r="M54" i="1"/>
  <c r="M56" i="1"/>
  <c r="P13" i="1"/>
  <c r="J55" i="1"/>
  <c r="J54" i="1"/>
  <c r="F56" i="1"/>
  <c r="I56" i="1"/>
  <c r="G55" i="1"/>
  <c r="G54" i="1"/>
  <c r="G56" i="1"/>
  <c r="J56" i="1"/>
  <c r="K56" i="1"/>
  <c r="F55" i="1"/>
  <c r="Q13" i="1"/>
  <c r="H55" i="1"/>
  <c r="H54" i="1"/>
  <c r="H56" i="1"/>
  <c r="Q11" i="1"/>
</calcChain>
</file>

<file path=xl/sharedStrings.xml><?xml version="1.0" encoding="utf-8"?>
<sst xmlns="http://schemas.openxmlformats.org/spreadsheetml/2006/main" count="371" uniqueCount="246">
  <si>
    <r>
      <rPr>
        <sz val="12"/>
        <color indexed="8"/>
        <rFont val="宋体"/>
        <family val="3"/>
        <charset val="134"/>
      </rPr>
      <t>常规机组最大总出力</t>
    </r>
    <r>
      <rPr>
        <sz val="12"/>
        <color indexed="8"/>
        <rFont val="Times New Roman"/>
        <family val="1"/>
      </rPr>
      <t>/MW</t>
    </r>
  </si>
  <si>
    <r>
      <rPr>
        <sz val="12"/>
        <color rgb="FF000000"/>
        <rFont val="宋体"/>
        <family val="3"/>
        <charset val="134"/>
      </rPr>
      <t>机组编号</t>
    </r>
    <phoneticPr fontId="5" type="noConversion"/>
  </si>
  <si>
    <t>G1</t>
    <phoneticPr fontId="5" type="noConversion"/>
  </si>
  <si>
    <t>G2</t>
  </si>
  <si>
    <t>G3</t>
  </si>
  <si>
    <t>G4</t>
  </si>
  <si>
    <t>G5</t>
  </si>
  <si>
    <t>G6</t>
  </si>
  <si>
    <t>G7</t>
  </si>
  <si>
    <t>G8</t>
  </si>
  <si>
    <r>
      <rPr>
        <sz val="12"/>
        <color indexed="8"/>
        <rFont val="宋体"/>
        <family val="3"/>
        <charset val="134"/>
      </rPr>
      <t>风电最大预测出力</t>
    </r>
    <r>
      <rPr>
        <sz val="12"/>
        <color indexed="8"/>
        <rFont val="Times New Roman"/>
        <family val="1"/>
      </rPr>
      <t>/MW</t>
    </r>
  </si>
  <si>
    <r>
      <rPr>
        <sz val="12"/>
        <color indexed="8"/>
        <rFont val="宋体"/>
        <family val="3"/>
        <charset val="134"/>
      </rPr>
      <t>火电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负荷比</t>
    </r>
    <phoneticPr fontId="5" type="noConversion"/>
  </si>
  <si>
    <r>
      <rPr>
        <sz val="12"/>
        <color indexed="8"/>
        <rFont val="宋体"/>
        <family val="3"/>
        <charset val="134"/>
      </rPr>
      <t>风电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负荷比</t>
    </r>
    <phoneticPr fontId="5" type="noConversion"/>
  </si>
  <si>
    <r>
      <rPr>
        <sz val="12"/>
        <color theme="1"/>
        <rFont val="宋体"/>
        <family val="3"/>
        <charset val="134"/>
      </rPr>
      <t>调差系数</t>
    </r>
  </si>
  <si>
    <r>
      <rPr>
        <sz val="12"/>
        <color indexed="8"/>
        <rFont val="宋体"/>
        <family val="3"/>
        <charset val="134"/>
      </rPr>
      <t>负荷预测最大值</t>
    </r>
    <r>
      <rPr>
        <sz val="12"/>
        <color indexed="8"/>
        <rFont val="Times New Roman"/>
        <family val="1"/>
      </rPr>
      <t>/MW</t>
    </r>
    <phoneticPr fontId="3" type="noConversion"/>
  </si>
  <si>
    <r>
      <rPr>
        <sz val="12"/>
        <color theme="1"/>
        <rFont val="宋体"/>
        <family val="3"/>
        <charset val="134"/>
      </rPr>
      <t>额定有功出力</t>
    </r>
    <r>
      <rPr>
        <sz val="12"/>
        <color theme="1"/>
        <rFont val="Times New Roman"/>
        <family val="1"/>
      </rPr>
      <t>/MW</t>
    </r>
    <phoneticPr fontId="3" type="noConversion"/>
  </si>
  <si>
    <r>
      <rPr>
        <sz val="12"/>
        <color indexed="8"/>
        <rFont val="宋体"/>
        <family val="3"/>
        <charset val="134"/>
      </rPr>
      <t>惯性时间常数</t>
    </r>
    <r>
      <rPr>
        <sz val="12"/>
        <color indexed="8"/>
        <rFont val="Times New Roman"/>
        <family val="1"/>
      </rPr>
      <t>/s</t>
    </r>
    <phoneticPr fontId="5" type="noConversion"/>
  </si>
  <si>
    <t>W1</t>
    <phoneticPr fontId="3" type="noConversion"/>
  </si>
  <si>
    <t>W2</t>
    <phoneticPr fontId="3" type="noConversion"/>
  </si>
  <si>
    <r>
      <rPr>
        <sz val="12"/>
        <color theme="1"/>
        <rFont val="宋体"/>
        <family val="3"/>
        <charset val="134"/>
      </rPr>
      <t>数值</t>
    </r>
    <phoneticPr fontId="3" type="noConversion"/>
  </si>
  <si>
    <r>
      <rPr>
        <sz val="12"/>
        <color theme="1"/>
        <rFont val="宋体"/>
        <family val="3"/>
        <charset val="134"/>
      </rPr>
      <t>时段</t>
    </r>
    <r>
      <rPr>
        <sz val="12"/>
        <color theme="1"/>
        <rFont val="Times New Roman"/>
        <family val="1"/>
      </rPr>
      <t>/15min</t>
    </r>
    <phoneticPr fontId="3" type="noConversion"/>
  </si>
  <si>
    <t>W1</t>
    <phoneticPr fontId="3" type="noConversion"/>
  </si>
  <si>
    <t>W2</t>
    <phoneticPr fontId="3" type="noConversion"/>
  </si>
  <si>
    <r>
      <rPr>
        <sz val="12"/>
        <color theme="1"/>
        <rFont val="宋体"/>
        <family val="3"/>
        <charset val="134"/>
      </rPr>
      <t>负荷预测值</t>
    </r>
    <r>
      <rPr>
        <sz val="12"/>
        <color theme="1"/>
        <rFont val="Times New Roman"/>
        <family val="1"/>
      </rPr>
      <t>/MW</t>
    </r>
    <phoneticPr fontId="3" type="noConversion"/>
  </si>
  <si>
    <r>
      <rPr>
        <sz val="12"/>
        <color theme="1"/>
        <rFont val="宋体"/>
        <family val="1"/>
        <charset val="134"/>
      </rPr>
      <t>负荷预测误差/</t>
    </r>
    <r>
      <rPr>
        <sz val="12"/>
        <color theme="1"/>
        <rFont val="Times New Roman"/>
        <family val="1"/>
      </rPr>
      <t>MW</t>
    </r>
    <phoneticPr fontId="3" type="noConversion"/>
  </si>
  <si>
    <t>误差生成器</t>
    <phoneticPr fontId="3" type="noConversion"/>
  </si>
  <si>
    <t>负荷基值</t>
    <phoneticPr fontId="3" type="noConversion"/>
  </si>
  <si>
    <r>
      <rPr>
        <sz val="12"/>
        <color theme="1"/>
        <rFont val="宋体"/>
        <family val="1"/>
        <charset val="134"/>
      </rPr>
      <t>线路编号</t>
    </r>
    <phoneticPr fontId="3" type="noConversion"/>
  </si>
  <si>
    <r>
      <rPr>
        <sz val="12"/>
        <color theme="1"/>
        <rFont val="宋体"/>
        <family val="1"/>
        <charset val="134"/>
      </rPr>
      <t>首节点</t>
    </r>
    <phoneticPr fontId="3" type="noConversion"/>
  </si>
  <si>
    <r>
      <rPr>
        <sz val="12"/>
        <color theme="1"/>
        <rFont val="宋体"/>
        <family val="1"/>
        <charset val="134"/>
      </rPr>
      <t>末节点</t>
    </r>
    <phoneticPr fontId="3" type="noConversion"/>
  </si>
  <si>
    <r>
      <rPr>
        <sz val="12"/>
        <color theme="1"/>
        <rFont val="宋体"/>
        <family val="3"/>
        <charset val="134"/>
      </rPr>
      <t>参数类型</t>
    </r>
    <phoneticPr fontId="3" type="noConversion"/>
  </si>
  <si>
    <r>
      <rPr>
        <sz val="12"/>
        <color theme="1"/>
        <rFont val="宋体"/>
        <family val="3"/>
        <charset val="134"/>
      </rPr>
      <t>单位调度时长</t>
    </r>
    <r>
      <rPr>
        <sz val="12"/>
        <color theme="1"/>
        <rFont val="Times New Roman"/>
        <family val="1"/>
      </rPr>
      <t>/min</t>
    </r>
    <phoneticPr fontId="3" type="noConversion"/>
  </si>
  <si>
    <r>
      <rPr>
        <sz val="12"/>
        <color theme="1"/>
        <rFont val="宋体"/>
        <family val="3"/>
        <charset val="134"/>
      </rPr>
      <t>日前调度时段数</t>
    </r>
    <phoneticPr fontId="3" type="noConversion"/>
  </si>
  <si>
    <r>
      <rPr>
        <sz val="12"/>
        <color theme="1"/>
        <rFont val="宋体"/>
        <family val="3"/>
        <charset val="134"/>
      </rPr>
      <t>数值积分步长</t>
    </r>
    <r>
      <rPr>
        <sz val="12"/>
        <color theme="1"/>
        <rFont val="Times New Roman"/>
        <family val="1"/>
      </rPr>
      <t>/s</t>
    </r>
    <phoneticPr fontId="3" type="noConversion"/>
  </si>
  <si>
    <r>
      <rPr>
        <sz val="12"/>
        <color theme="1"/>
        <rFont val="宋体"/>
        <family val="3"/>
        <charset val="134"/>
      </rPr>
      <t>数值积分总时长</t>
    </r>
    <r>
      <rPr>
        <sz val="12"/>
        <color theme="1"/>
        <rFont val="Times New Roman"/>
        <family val="1"/>
      </rPr>
      <t>/s</t>
    </r>
    <phoneticPr fontId="3" type="noConversion"/>
  </si>
  <si>
    <r>
      <rPr>
        <sz val="12"/>
        <color theme="1"/>
        <rFont val="宋体"/>
        <family val="3"/>
        <charset val="134"/>
      </rPr>
      <t>数值积分时步数</t>
    </r>
    <phoneticPr fontId="3" type="noConversion"/>
  </si>
  <si>
    <r>
      <rPr>
        <sz val="12"/>
        <color theme="1"/>
        <rFont val="宋体"/>
        <family val="3"/>
        <charset val="134"/>
      </rPr>
      <t>初始频率变化率限值</t>
    </r>
    <r>
      <rPr>
        <sz val="12"/>
        <color theme="1"/>
        <rFont val="Times New Roman"/>
        <family val="1"/>
      </rPr>
      <t>/p.u.</t>
    </r>
    <phoneticPr fontId="3" type="noConversion"/>
  </si>
  <si>
    <r>
      <rPr>
        <sz val="12"/>
        <color theme="1"/>
        <rFont val="宋体"/>
        <family val="3"/>
        <charset val="134"/>
      </rPr>
      <t>最大频差限值</t>
    </r>
    <r>
      <rPr>
        <sz val="12"/>
        <color theme="1"/>
        <rFont val="Times New Roman"/>
        <family val="1"/>
      </rPr>
      <t>/p.u.</t>
    </r>
    <phoneticPr fontId="3" type="noConversion"/>
  </si>
  <si>
    <r>
      <rPr>
        <sz val="12"/>
        <color theme="1"/>
        <rFont val="宋体"/>
        <family val="1"/>
        <charset val="134"/>
      </rPr>
      <t>负荷预测上界/</t>
    </r>
    <r>
      <rPr>
        <sz val="12"/>
        <color theme="1"/>
        <rFont val="Times New Roman"/>
        <family val="1"/>
      </rPr>
      <t>MW</t>
    </r>
    <phoneticPr fontId="3" type="noConversion"/>
  </si>
  <si>
    <r>
      <rPr>
        <sz val="12"/>
        <color theme="1"/>
        <rFont val="宋体"/>
        <family val="1"/>
        <charset val="134"/>
      </rPr>
      <t>负荷预测下界/</t>
    </r>
    <r>
      <rPr>
        <sz val="12"/>
        <color theme="1"/>
        <rFont val="Times New Roman"/>
        <family val="1"/>
      </rPr>
      <t>MW</t>
    </r>
    <phoneticPr fontId="3" type="noConversion"/>
  </si>
  <si>
    <r>
      <rPr>
        <sz val="12"/>
        <color theme="1"/>
        <rFont val="宋体"/>
        <family val="1"/>
        <charset val="134"/>
      </rPr>
      <t>线路长度</t>
    </r>
    <phoneticPr fontId="3" type="noConversion"/>
  </si>
  <si>
    <r>
      <rPr>
        <sz val="12"/>
        <color theme="1"/>
        <rFont val="宋体"/>
        <family val="1"/>
        <charset val="134"/>
      </rPr>
      <t>单位长度电阻</t>
    </r>
    <r>
      <rPr>
        <sz val="12"/>
        <color theme="1"/>
        <rFont val="Times New Roman"/>
        <family val="1"/>
      </rPr>
      <t>/Ω</t>
    </r>
    <phoneticPr fontId="3" type="noConversion"/>
  </si>
  <si>
    <r>
      <rPr>
        <sz val="12"/>
        <color theme="1"/>
        <rFont val="宋体"/>
        <family val="1"/>
        <charset val="134"/>
      </rPr>
      <t>单位长度电抗</t>
    </r>
    <r>
      <rPr>
        <sz val="12"/>
        <color theme="1"/>
        <rFont val="Times New Roman"/>
        <family val="1"/>
      </rPr>
      <t>/Ω</t>
    </r>
    <phoneticPr fontId="3" type="noConversion"/>
  </si>
  <si>
    <t>电力系统输电线路两端电压相角差异常修正方法及应用</t>
  </si>
  <si>
    <r>
      <t>50~100km
(100km</t>
    </r>
    <r>
      <rPr>
        <sz val="12"/>
        <color theme="1"/>
        <rFont val="宋体"/>
        <family val="1"/>
        <charset val="134"/>
      </rPr>
      <t>以内无需考虑对地支路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</si>
  <si>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宋体"/>
        <family val="1"/>
        <charset val="134"/>
      </rPr>
      <t>线路长度</t>
    </r>
    <r>
      <rPr>
        <sz val="12"/>
        <color theme="1"/>
        <rFont val="Times New Roman"/>
        <family val="1"/>
      </rPr>
      <t>/km</t>
    </r>
    <phoneticPr fontId="3" type="noConversion"/>
  </si>
  <si>
    <r>
      <rPr>
        <sz val="12"/>
        <color theme="1"/>
        <rFont val="宋体"/>
        <family val="1"/>
        <charset val="134"/>
      </rPr>
      <t>线路长度生成器</t>
    </r>
    <phoneticPr fontId="3" type="noConversion"/>
  </si>
  <si>
    <r>
      <rPr>
        <sz val="12"/>
        <color theme="1"/>
        <rFont val="宋体"/>
        <family val="1"/>
        <charset val="134"/>
      </rPr>
      <t>电压等级</t>
    </r>
    <r>
      <rPr>
        <sz val="12"/>
        <color theme="1"/>
        <rFont val="Times New Roman"/>
        <family val="1"/>
      </rPr>
      <t>/kV</t>
    </r>
    <phoneticPr fontId="3" type="noConversion"/>
  </si>
  <si>
    <r>
      <rPr>
        <sz val="12"/>
        <color theme="1"/>
        <rFont val="宋体"/>
        <family val="1"/>
        <charset val="134"/>
      </rPr>
      <t>参考文献</t>
    </r>
    <phoneticPr fontId="3" type="noConversion"/>
  </si>
  <si>
    <r>
      <rPr>
        <sz val="12"/>
        <color theme="1"/>
        <rFont val="宋体"/>
        <family val="1"/>
        <charset val="134"/>
      </rPr>
      <t>电力系统稳态分析</t>
    </r>
    <r>
      <rPr>
        <sz val="12"/>
        <color theme="1"/>
        <rFont val="Times New Roman"/>
        <family val="1"/>
      </rPr>
      <t>(</t>
    </r>
    <r>
      <rPr>
        <sz val="12"/>
        <color theme="1"/>
        <rFont val="宋体"/>
        <family val="1"/>
        <charset val="134"/>
      </rPr>
      <t>陈珩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</si>
  <si>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宋体"/>
        <family val="1"/>
        <charset val="134"/>
      </rPr>
      <t>线路电抗</t>
    </r>
    <r>
      <rPr>
        <sz val="12"/>
        <color theme="1"/>
        <rFont val="Times New Roman"/>
        <family val="1"/>
      </rPr>
      <t>/Ω</t>
    </r>
    <phoneticPr fontId="3" type="noConversion"/>
  </si>
  <si>
    <r>
      <rPr>
        <sz val="12"/>
        <color theme="1"/>
        <rFont val="宋体"/>
        <family val="1"/>
        <charset val="134"/>
      </rPr>
      <t>节点编号</t>
    </r>
    <phoneticPr fontId="3" type="noConversion"/>
  </si>
  <si>
    <r>
      <rPr>
        <sz val="12"/>
        <color theme="1"/>
        <rFont val="宋体"/>
        <family val="1"/>
        <charset val="134"/>
      </rPr>
      <t>有功负荷比例</t>
    </r>
    <phoneticPr fontId="3" type="noConversion"/>
  </si>
  <si>
    <t>G</t>
    <phoneticPr fontId="3" type="noConversion"/>
  </si>
  <si>
    <t>W</t>
    <phoneticPr fontId="3" type="noConversion"/>
  </si>
  <si>
    <t>N</t>
    <phoneticPr fontId="3" type="noConversion"/>
  </si>
  <si>
    <r>
      <rPr>
        <sz val="12"/>
        <color theme="1"/>
        <rFont val="宋体"/>
        <family val="1"/>
        <charset val="134"/>
      </rPr>
      <t>节点所接设备</t>
    </r>
    <phoneticPr fontId="3" type="noConversion"/>
  </si>
  <si>
    <r>
      <rPr>
        <sz val="12"/>
        <color theme="1"/>
        <rFont val="宋体"/>
        <family val="1"/>
        <charset val="134"/>
      </rPr>
      <t>设备类型</t>
    </r>
    <phoneticPr fontId="3" type="noConversion"/>
  </si>
  <si>
    <r>
      <rPr>
        <sz val="12"/>
        <color theme="1"/>
        <rFont val="宋体"/>
        <family val="1"/>
        <charset val="134"/>
      </rPr>
      <t>设备编号</t>
    </r>
    <phoneticPr fontId="3" type="noConversion"/>
  </si>
  <si>
    <r>
      <rPr>
        <sz val="12"/>
        <color theme="1"/>
        <rFont val="宋体"/>
        <family val="3"/>
        <charset val="134"/>
      </rPr>
      <t>伺服机构时间常数</t>
    </r>
    <r>
      <rPr>
        <sz val="12"/>
        <color theme="1"/>
        <rFont val="Times New Roman"/>
        <family val="1"/>
      </rPr>
      <t>/s</t>
    </r>
    <phoneticPr fontId="3" type="noConversion"/>
  </si>
  <si>
    <t>RPR/(MW/min)</t>
    <phoneticPr fontId="3" type="noConversion"/>
  </si>
  <si>
    <t>DPR/(MW/min)</t>
    <phoneticPr fontId="3" type="noConversion"/>
  </si>
  <si>
    <t>DPRO/(MW/min)</t>
    <phoneticPr fontId="3" type="noConversion"/>
  </si>
  <si>
    <r>
      <rPr>
        <sz val="12"/>
        <color theme="1"/>
        <rFont val="宋体"/>
        <family val="1"/>
        <charset val="134"/>
      </rPr>
      <t>爬坡率</t>
    </r>
    <phoneticPr fontId="3" type="noConversion"/>
  </si>
  <si>
    <r>
      <rPr>
        <sz val="12"/>
        <color theme="1"/>
        <rFont val="宋体"/>
        <family val="1"/>
        <charset val="134"/>
      </rPr>
      <t>定压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1"/>
        <charset val="134"/>
      </rPr>
      <t>段主汽压力</t>
    </r>
    <r>
      <rPr>
        <sz val="12"/>
        <color theme="1"/>
        <rFont val="Times New Roman"/>
        <family val="1"/>
      </rPr>
      <t>/p.u.</t>
    </r>
    <phoneticPr fontId="3" type="noConversion"/>
  </si>
  <si>
    <r>
      <rPr>
        <sz val="12"/>
        <color theme="1"/>
        <rFont val="宋体"/>
        <family val="1"/>
        <charset val="134"/>
      </rPr>
      <t>定压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1"/>
        <charset val="134"/>
      </rPr>
      <t>段主汽压力</t>
    </r>
    <r>
      <rPr>
        <sz val="12"/>
        <color theme="1"/>
        <rFont val="Times New Roman"/>
        <family val="1"/>
      </rPr>
      <t>/p.u.</t>
    </r>
    <phoneticPr fontId="3" type="noConversion"/>
  </si>
  <si>
    <r>
      <rPr>
        <sz val="12"/>
        <color theme="1"/>
        <rFont val="宋体"/>
        <family val="1"/>
        <charset val="134"/>
      </rPr>
      <t>复合滑压曲线</t>
    </r>
    <phoneticPr fontId="3" type="noConversion"/>
  </si>
  <si>
    <r>
      <rPr>
        <sz val="12"/>
        <color theme="1"/>
        <rFont val="宋体"/>
        <family val="1"/>
        <charset val="134"/>
      </rPr>
      <t>汽包容积时间常数</t>
    </r>
    <r>
      <rPr>
        <sz val="12"/>
        <color theme="1"/>
        <rFont val="Times New Roman"/>
        <family val="1"/>
      </rPr>
      <t>/s</t>
    </r>
    <phoneticPr fontId="3" type="noConversion"/>
  </si>
  <si>
    <r>
      <rPr>
        <sz val="12"/>
        <color theme="1"/>
        <rFont val="宋体"/>
        <family val="1"/>
        <charset val="134"/>
      </rPr>
      <t>过热器容积时间常数</t>
    </r>
    <r>
      <rPr>
        <sz val="12"/>
        <color theme="1"/>
        <rFont val="Times New Roman"/>
        <family val="1"/>
      </rPr>
      <t>/s</t>
    </r>
    <phoneticPr fontId="3" type="noConversion"/>
  </si>
  <si>
    <r>
      <rPr>
        <sz val="12"/>
        <color theme="1"/>
        <rFont val="宋体"/>
        <family val="1"/>
        <charset val="134"/>
      </rPr>
      <t>过热器及主汽管道流量系数</t>
    </r>
    <phoneticPr fontId="3" type="noConversion"/>
  </si>
  <si>
    <r>
      <rPr>
        <sz val="12"/>
        <color theme="1"/>
        <rFont val="宋体"/>
        <family val="1"/>
        <charset val="134"/>
      </rPr>
      <t>滑压段斜率</t>
    </r>
    <r>
      <rPr>
        <sz val="12"/>
        <color theme="1"/>
        <rFont val="Times New Roman"/>
        <family val="1"/>
      </rPr>
      <t>/p.u.</t>
    </r>
    <phoneticPr fontId="3" type="noConversion"/>
  </si>
  <si>
    <r>
      <rPr>
        <sz val="12"/>
        <color theme="1"/>
        <rFont val="宋体"/>
        <family val="1"/>
        <charset val="134"/>
      </rPr>
      <t>定压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1"/>
        <charset val="134"/>
      </rPr>
      <t>段反比例系数</t>
    </r>
    <r>
      <rPr>
        <sz val="12"/>
        <color theme="1"/>
        <rFont val="Times New Roman"/>
        <family val="1"/>
      </rPr>
      <t>/s</t>
    </r>
    <phoneticPr fontId="3" type="noConversion"/>
  </si>
  <si>
    <r>
      <rPr>
        <sz val="12"/>
        <color theme="1"/>
        <rFont val="宋体"/>
        <family val="1"/>
        <charset val="134"/>
      </rPr>
      <t>滑压段定值</t>
    </r>
    <r>
      <rPr>
        <sz val="12"/>
        <color theme="1"/>
        <rFont val="Times New Roman"/>
        <family val="1"/>
      </rPr>
      <t>/s</t>
    </r>
    <phoneticPr fontId="3" type="noConversion"/>
  </si>
  <si>
    <r>
      <rPr>
        <sz val="12"/>
        <color theme="1"/>
        <rFont val="宋体"/>
        <family val="1"/>
        <charset val="134"/>
      </rPr>
      <t>定压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1"/>
        <charset val="134"/>
      </rPr>
      <t>段反比例系数</t>
    </r>
    <r>
      <rPr>
        <sz val="12"/>
        <color theme="1"/>
        <rFont val="Times New Roman"/>
        <family val="1"/>
      </rPr>
      <t>/s</t>
    </r>
    <phoneticPr fontId="3" type="noConversion"/>
  </si>
  <si>
    <r>
      <rPr>
        <sz val="12"/>
        <color theme="1"/>
        <rFont val="宋体"/>
        <family val="1"/>
        <charset val="134"/>
      </rPr>
      <t>再热定压段反比例系数</t>
    </r>
    <r>
      <rPr>
        <sz val="12"/>
        <color theme="1"/>
        <rFont val="Times New Roman"/>
        <family val="1"/>
      </rPr>
      <t>/s</t>
    </r>
    <phoneticPr fontId="3" type="noConversion"/>
  </si>
  <si>
    <r>
      <rPr>
        <sz val="12"/>
        <color theme="1"/>
        <rFont val="宋体"/>
        <family val="1"/>
        <charset val="134"/>
      </rPr>
      <t>再热滑压段定值</t>
    </r>
    <r>
      <rPr>
        <sz val="12"/>
        <color theme="1"/>
        <rFont val="Times New Roman"/>
        <family val="1"/>
      </rPr>
      <t>/s</t>
    </r>
    <phoneticPr fontId="3" type="noConversion"/>
  </si>
  <si>
    <r>
      <rPr>
        <sz val="12"/>
        <color theme="1"/>
        <rFont val="宋体"/>
        <family val="1"/>
        <charset val="134"/>
      </rPr>
      <t>额定值</t>
    </r>
    <phoneticPr fontId="3" type="noConversion"/>
  </si>
  <si>
    <r>
      <rPr>
        <sz val="12"/>
        <color theme="1"/>
        <rFont val="宋体"/>
        <family val="1"/>
        <charset val="134"/>
      </rPr>
      <t>三次项系数</t>
    </r>
    <phoneticPr fontId="3" type="noConversion"/>
  </si>
  <si>
    <r>
      <rPr>
        <sz val="12"/>
        <color theme="1"/>
        <rFont val="宋体"/>
        <family val="1"/>
        <charset val="134"/>
      </rPr>
      <t>二次项系数</t>
    </r>
    <phoneticPr fontId="3" type="noConversion"/>
  </si>
  <si>
    <r>
      <rPr>
        <sz val="12"/>
        <color theme="1"/>
        <rFont val="宋体"/>
        <family val="1"/>
        <charset val="134"/>
      </rPr>
      <t>一次项系数</t>
    </r>
    <phoneticPr fontId="3" type="noConversion"/>
  </si>
  <si>
    <r>
      <rPr>
        <sz val="12"/>
        <color theme="1"/>
        <rFont val="宋体"/>
        <family val="1"/>
        <charset val="134"/>
      </rPr>
      <t>常数项</t>
    </r>
    <phoneticPr fontId="3" type="noConversion"/>
  </si>
  <si>
    <r>
      <rPr>
        <sz val="12"/>
        <color theme="1"/>
        <rFont val="宋体"/>
        <family val="1"/>
        <charset val="134"/>
      </rPr>
      <t>四次项系数</t>
    </r>
    <phoneticPr fontId="3" type="noConversion"/>
  </si>
  <si>
    <r>
      <rPr>
        <sz val="12"/>
        <color theme="1"/>
        <rFont val="宋体"/>
        <family val="1"/>
        <charset val="134"/>
      </rPr>
      <t>其他</t>
    </r>
    <r>
      <rPr>
        <sz val="12"/>
        <color theme="1"/>
        <rFont val="Times New Roman"/>
        <family val="1"/>
      </rPr>
      <t>PFR</t>
    </r>
    <r>
      <rPr>
        <sz val="12"/>
        <color theme="1"/>
        <rFont val="宋体"/>
        <family val="1"/>
        <charset val="134"/>
      </rPr>
      <t>参数</t>
    </r>
    <phoneticPr fontId="3" type="noConversion"/>
  </si>
  <si>
    <r>
      <rPr>
        <sz val="12"/>
        <color theme="1"/>
        <rFont val="宋体"/>
        <family val="1"/>
        <charset val="134"/>
      </rPr>
      <t>功率限幅比例</t>
    </r>
    <r>
      <rPr>
        <sz val="12"/>
        <color theme="1"/>
        <rFont val="Times New Roman"/>
        <family val="1"/>
      </rPr>
      <t>/p.u.</t>
    </r>
    <phoneticPr fontId="3" type="noConversion"/>
  </si>
  <si>
    <r>
      <rPr>
        <sz val="12"/>
        <color theme="1"/>
        <rFont val="宋体"/>
        <family val="1"/>
        <charset val="134"/>
      </rPr>
      <t>调频死区</t>
    </r>
    <r>
      <rPr>
        <sz val="12"/>
        <color theme="1"/>
        <rFont val="Times New Roman"/>
        <family val="1"/>
      </rPr>
      <t>/p.u.</t>
    </r>
    <phoneticPr fontId="3" type="noConversion"/>
  </si>
  <si>
    <r>
      <rPr>
        <sz val="12"/>
        <color theme="1"/>
        <rFont val="宋体"/>
        <family val="1"/>
        <charset val="134"/>
      </rPr>
      <t>高压缸前汽室
容积时间常数</t>
    </r>
    <phoneticPr fontId="3" type="noConversion"/>
  </si>
  <si>
    <r>
      <rPr>
        <sz val="12"/>
        <color theme="1"/>
        <rFont val="宋体"/>
        <family val="1"/>
        <charset val="134"/>
      </rPr>
      <t>再热器容积
时间常数</t>
    </r>
    <phoneticPr fontId="3" type="noConversion"/>
  </si>
  <si>
    <r>
      <rPr>
        <sz val="12"/>
        <color theme="1"/>
        <rFont val="宋体"/>
        <family val="1"/>
        <charset val="134"/>
      </rPr>
      <t>高压缸功率
自然过调系数</t>
    </r>
    <phoneticPr fontId="3" type="noConversion"/>
  </si>
  <si>
    <r>
      <rPr>
        <sz val="12"/>
        <color theme="1"/>
        <rFont val="宋体"/>
        <family val="1"/>
        <charset val="134"/>
      </rPr>
      <t>高压缸输出
功率占比</t>
    </r>
    <phoneticPr fontId="3" type="noConversion"/>
  </si>
  <si>
    <r>
      <t>RPR</t>
    </r>
    <r>
      <rPr>
        <sz val="12"/>
        <color theme="1"/>
        <rFont val="宋体"/>
        <family val="1"/>
        <charset val="134"/>
      </rPr>
      <t>最小持续时间</t>
    </r>
    <r>
      <rPr>
        <sz val="12"/>
        <color theme="1"/>
        <rFont val="Times New Roman"/>
        <family val="1"/>
      </rPr>
      <t>/h</t>
    </r>
    <phoneticPr fontId="3" type="noConversion"/>
  </si>
  <si>
    <r>
      <t>DPR</t>
    </r>
    <r>
      <rPr>
        <sz val="12"/>
        <color theme="1"/>
        <rFont val="宋体"/>
        <family val="1"/>
        <charset val="134"/>
      </rPr>
      <t>最小持续时间</t>
    </r>
    <r>
      <rPr>
        <sz val="12"/>
        <color theme="1"/>
        <rFont val="Times New Roman"/>
        <family val="1"/>
      </rPr>
      <t>/h</t>
    </r>
    <phoneticPr fontId="3" type="noConversion"/>
  </si>
  <si>
    <r>
      <t>DPRO</t>
    </r>
    <r>
      <rPr>
        <sz val="12"/>
        <color theme="1"/>
        <rFont val="宋体"/>
        <family val="1"/>
        <charset val="134"/>
      </rPr>
      <t>最小持续时间</t>
    </r>
    <r>
      <rPr>
        <sz val="12"/>
        <color theme="1"/>
        <rFont val="Times New Roman"/>
        <family val="1"/>
      </rPr>
      <t>/h</t>
    </r>
    <phoneticPr fontId="3" type="noConversion"/>
  </si>
  <si>
    <r>
      <rPr>
        <sz val="12"/>
        <color theme="1"/>
        <rFont val="宋体"/>
        <family val="1"/>
        <charset val="134"/>
      </rPr>
      <t>启停机最小持续时间</t>
    </r>
    <r>
      <rPr>
        <sz val="12"/>
        <color theme="1"/>
        <rFont val="Times New Roman"/>
        <family val="1"/>
      </rPr>
      <t>/h</t>
    </r>
    <phoneticPr fontId="3" type="noConversion"/>
  </si>
  <si>
    <r>
      <rPr>
        <sz val="12"/>
        <color theme="1"/>
        <rFont val="宋体"/>
        <family val="1"/>
        <charset val="134"/>
      </rPr>
      <t>出力上下限</t>
    </r>
    <phoneticPr fontId="3" type="noConversion"/>
  </si>
  <si>
    <r>
      <rPr>
        <sz val="12"/>
        <color theme="1"/>
        <rFont val="宋体"/>
        <family val="1"/>
        <charset val="134"/>
      </rPr>
      <t>启停与持续</t>
    </r>
    <phoneticPr fontId="3" type="noConversion"/>
  </si>
  <si>
    <r>
      <t>DPRO</t>
    </r>
    <r>
      <rPr>
        <sz val="12"/>
        <color indexed="8"/>
        <rFont val="宋体"/>
        <family val="3"/>
        <charset val="134"/>
      </rPr>
      <t>燃料油消耗速度</t>
    </r>
    <r>
      <rPr>
        <sz val="12"/>
        <color indexed="8"/>
        <rFont val="Times New Roman"/>
        <family val="1"/>
      </rPr>
      <t>/(t/h)</t>
    </r>
  </si>
  <si>
    <r>
      <t>DPR</t>
    </r>
    <r>
      <rPr>
        <sz val="12"/>
        <color theme="1"/>
        <rFont val="宋体"/>
        <family val="1"/>
        <charset val="134"/>
      </rPr>
      <t>与</t>
    </r>
    <r>
      <rPr>
        <sz val="12"/>
        <color theme="1"/>
        <rFont val="Times New Roman"/>
        <family val="1"/>
      </rPr>
      <t xml:space="preserve">DPRO
</t>
    </r>
    <r>
      <rPr>
        <sz val="12"/>
        <color theme="1"/>
        <rFont val="宋体"/>
        <family val="1"/>
        <charset val="134"/>
      </rPr>
      <t>附加成本</t>
    </r>
    <phoneticPr fontId="3" type="noConversion"/>
  </si>
  <si>
    <r>
      <rPr>
        <sz val="12"/>
        <color theme="1"/>
        <rFont val="宋体"/>
        <family val="3"/>
        <charset val="134"/>
      </rPr>
      <t>功率</t>
    </r>
    <r>
      <rPr>
        <sz val="12"/>
        <color theme="1"/>
        <rFont val="Times New Roman"/>
        <family val="1"/>
      </rPr>
      <t>/MW</t>
    </r>
    <phoneticPr fontId="3" type="noConversion"/>
  </si>
  <si>
    <r>
      <rPr>
        <sz val="12"/>
        <color theme="1"/>
        <rFont val="宋体"/>
        <family val="1"/>
        <charset val="134"/>
      </rPr>
      <t>单位小时转子致裂周次</t>
    </r>
    <phoneticPr fontId="3" type="noConversion"/>
  </si>
  <si>
    <r>
      <t>300MW</t>
    </r>
    <r>
      <rPr>
        <sz val="12"/>
        <color theme="1"/>
        <rFont val="宋体"/>
        <family val="1"/>
        <charset val="134"/>
      </rPr>
      <t>机组</t>
    </r>
    <phoneticPr fontId="3" type="noConversion"/>
  </si>
  <si>
    <r>
      <t>RPR</t>
    </r>
    <r>
      <rPr>
        <sz val="12"/>
        <color theme="1"/>
        <rFont val="宋体"/>
        <family val="1"/>
        <charset val="134"/>
      </rPr>
      <t>下限</t>
    </r>
    <r>
      <rPr>
        <sz val="12"/>
        <color theme="1"/>
        <rFont val="Times New Roman"/>
        <family val="1"/>
      </rPr>
      <t>/MW</t>
    </r>
    <phoneticPr fontId="3" type="noConversion"/>
  </si>
  <si>
    <r>
      <t>DPR</t>
    </r>
    <r>
      <rPr>
        <sz val="12"/>
        <color theme="1"/>
        <rFont val="宋体"/>
        <family val="1"/>
        <charset val="134"/>
      </rPr>
      <t>下限</t>
    </r>
    <r>
      <rPr>
        <sz val="12"/>
        <color theme="1"/>
        <rFont val="Times New Roman"/>
        <family val="1"/>
      </rPr>
      <t>/MW</t>
    </r>
    <phoneticPr fontId="3" type="noConversion"/>
  </si>
  <si>
    <r>
      <t>DPRO</t>
    </r>
    <r>
      <rPr>
        <sz val="12"/>
        <color theme="1"/>
        <rFont val="宋体"/>
        <family val="1"/>
        <charset val="134"/>
      </rPr>
      <t>下限</t>
    </r>
    <r>
      <rPr>
        <sz val="12"/>
        <color theme="1"/>
        <rFont val="Times New Roman"/>
        <family val="1"/>
      </rPr>
      <t>/MW</t>
    </r>
    <phoneticPr fontId="3" type="noConversion"/>
  </si>
  <si>
    <r>
      <t>200MW</t>
    </r>
    <r>
      <rPr>
        <sz val="12"/>
        <color theme="1"/>
        <rFont val="宋体"/>
        <family val="1"/>
        <charset val="134"/>
      </rPr>
      <t>机组</t>
    </r>
    <phoneticPr fontId="3" type="noConversion"/>
  </si>
  <si>
    <r>
      <rPr>
        <sz val="12"/>
        <color theme="1"/>
        <rFont val="宋体"/>
        <family val="1"/>
        <charset val="134"/>
      </rPr>
      <t>碳排放强度</t>
    </r>
    <r>
      <rPr>
        <sz val="12"/>
        <color theme="1"/>
        <rFont val="Times New Roman"/>
        <family val="1"/>
      </rPr>
      <t>/(t/MWh)</t>
    </r>
    <phoneticPr fontId="3" type="noConversion"/>
  </si>
  <si>
    <r>
      <rPr>
        <sz val="12"/>
        <color theme="1"/>
        <rFont val="宋体"/>
        <family val="1"/>
        <charset val="134"/>
      </rPr>
      <t>碳排放量</t>
    </r>
    <r>
      <rPr>
        <sz val="12"/>
        <color theme="1"/>
        <rFont val="Times New Roman"/>
        <family val="1"/>
      </rPr>
      <t>/(t/h)</t>
    </r>
    <phoneticPr fontId="3" type="noConversion"/>
  </si>
  <si>
    <r>
      <rPr>
        <sz val="12"/>
        <color theme="1"/>
        <rFont val="宋体"/>
        <family val="1"/>
        <charset val="134"/>
      </rPr>
      <t>一次项系数</t>
    </r>
    <r>
      <rPr>
        <sz val="12"/>
        <color theme="1"/>
        <rFont val="Times New Roman"/>
        <family val="1"/>
      </rPr>
      <t>/(t/MWh)</t>
    </r>
    <phoneticPr fontId="3" type="noConversion"/>
  </si>
  <si>
    <r>
      <rPr>
        <sz val="12"/>
        <color theme="1"/>
        <rFont val="宋体"/>
        <family val="1"/>
        <charset val="134"/>
      </rPr>
      <t>常数项</t>
    </r>
    <r>
      <rPr>
        <sz val="12"/>
        <color theme="1"/>
        <rFont val="Times New Roman"/>
        <family val="1"/>
      </rPr>
      <t>/(t/h)</t>
    </r>
    <phoneticPr fontId="3" type="noConversion"/>
  </si>
  <si>
    <t>参考文献：面向灵活性发电的燃煤机组大气排放特性分析</t>
    <phoneticPr fontId="3" type="noConversion"/>
  </si>
  <si>
    <r>
      <rPr>
        <sz val="12"/>
        <color theme="1"/>
        <rFont val="宋体"/>
        <family val="1"/>
        <charset val="134"/>
      </rPr>
      <t>出力/</t>
    </r>
    <r>
      <rPr>
        <sz val="12"/>
        <color theme="1"/>
        <rFont val="Times New Roman"/>
        <family val="1"/>
      </rPr>
      <t>MW</t>
    </r>
    <phoneticPr fontId="3" type="noConversion"/>
  </si>
  <si>
    <r>
      <rPr>
        <sz val="12"/>
        <color theme="1"/>
        <rFont val="宋体"/>
        <family val="1"/>
        <charset val="134"/>
      </rPr>
      <t>碳排放特性</t>
    </r>
    <phoneticPr fontId="3" type="noConversion"/>
  </si>
  <si>
    <r>
      <rPr>
        <sz val="12"/>
        <color theme="1"/>
        <rFont val="宋体"/>
        <family val="3"/>
        <charset val="134"/>
      </rPr>
      <t>单次开机成本</t>
    </r>
    <r>
      <rPr>
        <sz val="12"/>
        <color theme="1"/>
        <rFont val="Times New Roman"/>
        <family val="1"/>
      </rPr>
      <t>/¥</t>
    </r>
    <phoneticPr fontId="3" type="noConversion"/>
  </si>
  <si>
    <r>
      <rPr>
        <sz val="12"/>
        <color theme="1"/>
        <rFont val="宋体"/>
        <family val="1"/>
        <charset val="134"/>
      </rPr>
      <t>二次项系数</t>
    </r>
    <r>
      <rPr>
        <sz val="12"/>
        <color theme="1"/>
        <rFont val="Times New Roman"/>
        <family val="1"/>
      </rPr>
      <t>/(¥·MW</t>
    </r>
    <r>
      <rPr>
        <vertAlign val="superscript"/>
        <sz val="12"/>
        <color theme="1"/>
        <rFont val="Times New Roman"/>
        <family val="1"/>
      </rPr>
      <t>-2</t>
    </r>
    <r>
      <rPr>
        <sz val="12"/>
        <color theme="1"/>
        <rFont val="Times New Roman"/>
        <family val="1"/>
      </rPr>
      <t>·h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</si>
  <si>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宋体"/>
        <family val="1"/>
        <charset val="134"/>
      </rPr>
      <t>一次项系数</t>
    </r>
    <r>
      <rPr>
        <sz val="12"/>
        <color theme="1"/>
        <rFont val="Times New Roman"/>
        <family val="1"/>
      </rPr>
      <t>/(¥/MWh)</t>
    </r>
    <phoneticPr fontId="3" type="noConversion"/>
  </si>
  <si>
    <r>
      <rPr>
        <sz val="12"/>
        <color theme="1"/>
        <rFont val="宋体"/>
        <family val="1"/>
        <charset val="134"/>
      </rPr>
      <t>常数项</t>
    </r>
    <r>
      <rPr>
        <sz val="12"/>
        <color theme="1"/>
        <rFont val="Times New Roman"/>
        <family val="1"/>
      </rPr>
      <t>(¥/h)</t>
    </r>
    <phoneticPr fontId="3" type="noConversion"/>
  </si>
  <si>
    <r>
      <t>60s</t>
    </r>
    <r>
      <rPr>
        <sz val="12"/>
        <color theme="1"/>
        <rFont val="宋体"/>
        <family val="3"/>
        <charset val="134"/>
      </rPr>
      <t>频差限值</t>
    </r>
    <r>
      <rPr>
        <sz val="12"/>
        <color theme="1"/>
        <rFont val="Times New Roman"/>
        <family val="1"/>
      </rPr>
      <t>/p.u.</t>
    </r>
    <phoneticPr fontId="3" type="noConversion"/>
  </si>
  <si>
    <r>
      <rPr>
        <b/>
        <sz val="12"/>
        <color indexed="8"/>
        <rFont val="宋体"/>
        <family val="3"/>
        <charset val="134"/>
      </rPr>
      <t>火电机组参数</t>
    </r>
    <phoneticPr fontId="5" type="noConversion"/>
  </si>
  <si>
    <r>
      <rPr>
        <sz val="12"/>
        <color theme="1"/>
        <rFont val="宋体"/>
        <family val="1"/>
        <charset val="134"/>
      </rPr>
      <t>定压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1"/>
        <charset val="134"/>
      </rPr>
      <t>段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1"/>
        <charset val="134"/>
      </rPr>
      <t>滑压段临界功率</t>
    </r>
    <r>
      <rPr>
        <sz val="12"/>
        <color theme="1"/>
        <rFont val="Times New Roman"/>
        <family val="1"/>
      </rPr>
      <t>/p.u.</t>
    </r>
    <phoneticPr fontId="3" type="noConversion"/>
  </si>
  <si>
    <r>
      <rPr>
        <sz val="12"/>
        <color theme="1"/>
        <rFont val="宋体"/>
        <family val="1"/>
        <charset val="134"/>
      </rPr>
      <t>滑压段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1"/>
        <charset val="134"/>
      </rPr>
      <t>定压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1"/>
        <charset val="134"/>
      </rPr>
      <t>段临界功率</t>
    </r>
    <r>
      <rPr>
        <sz val="12"/>
        <color theme="1"/>
        <rFont val="Times New Roman"/>
        <family val="1"/>
      </rPr>
      <t>/p.u.</t>
    </r>
    <phoneticPr fontId="3" type="noConversion"/>
  </si>
  <si>
    <r>
      <rPr>
        <sz val="12"/>
        <color theme="1"/>
        <rFont val="宋体"/>
        <family val="1"/>
        <charset val="134"/>
      </rPr>
      <t>再热定压段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1"/>
        <charset val="134"/>
      </rPr>
      <t>滑压段临界功率</t>
    </r>
    <r>
      <rPr>
        <sz val="12"/>
        <color theme="1"/>
        <rFont val="Times New Roman"/>
        <family val="1"/>
      </rPr>
      <t>/p.u.</t>
    </r>
    <phoneticPr fontId="3" type="noConversion"/>
  </si>
  <si>
    <t>ES1</t>
  </si>
  <si>
    <t>电池类型</t>
  </si>
  <si>
    <t>锂电池</t>
  </si>
  <si>
    <t>单个电池组功率/MW</t>
  </si>
  <si>
    <t>电池组数量</t>
  </si>
  <si>
    <t>额定功率/MW</t>
  </si>
  <si>
    <t>功率转换效率</t>
  </si>
  <si>
    <t>虚拟惯量系数</t>
  </si>
  <si>
    <t>频率下垂系数</t>
  </si>
  <si>
    <t>ES2</t>
  </si>
  <si>
    <r>
      <rPr>
        <sz val="12"/>
        <color theme="1"/>
        <rFont val="宋体"/>
        <family val="3"/>
        <charset val="134"/>
      </rPr>
      <t>能量下限</t>
    </r>
    <r>
      <rPr>
        <sz val="12"/>
        <color theme="1"/>
        <rFont val="Times New Roman"/>
        <family val="1"/>
      </rPr>
      <t>/MWh</t>
    </r>
    <phoneticPr fontId="3" type="noConversion"/>
  </si>
  <si>
    <r>
      <rPr>
        <sz val="12"/>
        <color theme="1"/>
        <rFont val="宋体"/>
        <family val="3"/>
        <charset val="134"/>
      </rPr>
      <t>初始时刻能量</t>
    </r>
    <r>
      <rPr>
        <sz val="12"/>
        <color theme="1"/>
        <rFont val="Times New Roman"/>
        <family val="1"/>
      </rPr>
      <t>/MWh</t>
    </r>
    <phoneticPr fontId="3" type="noConversion"/>
  </si>
  <si>
    <r>
      <rPr>
        <sz val="12"/>
        <color theme="1"/>
        <rFont val="宋体"/>
        <family val="3"/>
        <charset val="134"/>
      </rPr>
      <t>额定容量</t>
    </r>
    <r>
      <rPr>
        <sz val="12"/>
        <color theme="1"/>
        <rFont val="Times New Roman"/>
        <family val="1"/>
      </rPr>
      <t>/MWh</t>
    </r>
    <phoneticPr fontId="3" type="noConversion"/>
  </si>
  <si>
    <r>
      <rPr>
        <sz val="12"/>
        <color theme="1"/>
        <rFont val="宋体"/>
        <family val="3"/>
        <charset val="134"/>
      </rPr>
      <t>单个电池组容量</t>
    </r>
    <r>
      <rPr>
        <sz val="12"/>
        <color theme="1"/>
        <rFont val="Times New Roman"/>
        <family val="1"/>
      </rPr>
      <t>/MWh</t>
    </r>
    <phoneticPr fontId="3" type="noConversion"/>
  </si>
  <si>
    <r>
      <rPr>
        <b/>
        <sz val="12"/>
        <color theme="1"/>
        <rFont val="宋体"/>
        <family val="3"/>
        <charset val="134"/>
      </rPr>
      <t>电池储能参数</t>
    </r>
    <phoneticPr fontId="3" type="noConversion"/>
  </si>
  <si>
    <r>
      <rPr>
        <sz val="12"/>
        <color theme="1"/>
        <rFont val="宋体"/>
        <family val="3"/>
        <charset val="134"/>
      </rPr>
      <t>储能编号</t>
    </r>
  </si>
  <si>
    <r>
      <rPr>
        <sz val="12"/>
        <color theme="1"/>
        <rFont val="宋体"/>
        <family val="1"/>
        <charset val="134"/>
      </rPr>
      <t>功率上限</t>
    </r>
    <r>
      <rPr>
        <sz val="12"/>
        <color theme="1"/>
        <rFont val="Times New Roman"/>
        <family val="1"/>
      </rPr>
      <t>/MW</t>
    </r>
    <phoneticPr fontId="3" type="noConversion"/>
  </si>
  <si>
    <r>
      <rPr>
        <sz val="12"/>
        <color theme="1"/>
        <rFont val="宋体"/>
        <family val="1"/>
        <charset val="134"/>
      </rPr>
      <t>煤耗成本</t>
    </r>
    <phoneticPr fontId="3" type="noConversion"/>
  </si>
  <si>
    <r>
      <rPr>
        <sz val="12"/>
        <color theme="1"/>
        <rFont val="宋体"/>
        <family val="1"/>
        <charset val="134"/>
      </rPr>
      <t>功率下限</t>
    </r>
    <r>
      <rPr>
        <sz val="12"/>
        <color theme="1"/>
        <rFont val="Times New Roman"/>
        <family val="1"/>
      </rPr>
      <t>/MW</t>
    </r>
    <phoneticPr fontId="3" type="noConversion"/>
  </si>
  <si>
    <r>
      <rPr>
        <sz val="12"/>
        <color theme="1"/>
        <rFont val="宋体"/>
        <family val="1"/>
        <charset val="134"/>
      </rPr>
      <t>能量上限</t>
    </r>
    <r>
      <rPr>
        <sz val="12"/>
        <color theme="1"/>
        <rFont val="Times New Roman"/>
        <family val="1"/>
      </rPr>
      <t>/MWh</t>
    </r>
    <phoneticPr fontId="3" type="noConversion"/>
  </si>
  <si>
    <r>
      <rPr>
        <sz val="12"/>
        <color theme="1"/>
        <rFont val="宋体"/>
        <family val="1"/>
        <charset val="134"/>
      </rPr>
      <t>变流器时间常数</t>
    </r>
    <r>
      <rPr>
        <sz val="12"/>
        <color theme="1"/>
        <rFont val="Times New Roman"/>
        <family val="1"/>
      </rPr>
      <t>/s</t>
    </r>
    <phoneticPr fontId="3" type="noConversion"/>
  </si>
  <si>
    <r>
      <rPr>
        <sz val="12"/>
        <color rgb="FF000000"/>
        <rFont val="宋体"/>
        <family val="3"/>
        <charset val="134"/>
      </rPr>
      <t>电池储能</t>
    </r>
    <r>
      <rPr>
        <sz val="12"/>
        <color indexed="8"/>
        <rFont val="宋体"/>
        <family val="3"/>
        <charset val="134"/>
      </rPr>
      <t>最大出力</t>
    </r>
    <r>
      <rPr>
        <sz val="12"/>
        <color indexed="8"/>
        <rFont val="Times New Roman"/>
        <family val="1"/>
      </rPr>
      <t>/MW</t>
    </r>
    <phoneticPr fontId="3" type="noConversion"/>
  </si>
  <si>
    <r>
      <rPr>
        <sz val="12"/>
        <color rgb="FF000000"/>
        <rFont val="宋体"/>
        <family val="3"/>
        <charset val="134"/>
      </rPr>
      <t>储能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负荷比</t>
    </r>
    <phoneticPr fontId="5" type="noConversion"/>
  </si>
  <si>
    <t>B</t>
    <phoneticPr fontId="3" type="noConversion"/>
  </si>
  <si>
    <t>计及火电阶梯式爬坡率的耦合系统优化调度方法</t>
  </si>
  <si>
    <t>Low-carbon economic dispatch of Photovoltaic-Carbon capture power plant considering deep peak regulation</t>
    <phoneticPr fontId="3" type="noConversion"/>
  </si>
  <si>
    <t>含义</t>
    <phoneticPr fontId="3" type="noConversion"/>
  </si>
  <si>
    <t>设备类型代码</t>
    <phoneticPr fontId="3" type="noConversion"/>
  </si>
  <si>
    <t>N</t>
    <phoneticPr fontId="3" type="noConversion"/>
  </si>
  <si>
    <t>B</t>
    <phoneticPr fontId="3" type="noConversion"/>
  </si>
  <si>
    <t>G</t>
    <phoneticPr fontId="3" type="noConversion"/>
  </si>
  <si>
    <t>W</t>
    <phoneticPr fontId="3" type="noConversion"/>
  </si>
  <si>
    <t>接有风电</t>
    <phoneticPr fontId="3" type="noConversion"/>
  </si>
  <si>
    <t>接有火电</t>
    <phoneticPr fontId="3" type="noConversion"/>
  </si>
  <si>
    <t>接有电池储能</t>
    <phoneticPr fontId="3" type="noConversion"/>
  </si>
  <si>
    <t>未接电源及储能</t>
    <phoneticPr fontId="3" type="noConversion"/>
  </si>
  <si>
    <t>0.2Hz</t>
    <phoneticPr fontId="3" type="noConversion"/>
  </si>
  <si>
    <t>0.3Hz/s</t>
    <phoneticPr fontId="3" type="noConversion"/>
  </si>
  <si>
    <r>
      <rPr>
        <b/>
        <sz val="12"/>
        <color theme="1"/>
        <rFont val="宋体"/>
        <family val="3"/>
        <charset val="134"/>
      </rPr>
      <t>容量配比</t>
    </r>
    <phoneticPr fontId="3" type="noConversion"/>
  </si>
  <si>
    <t>G1</t>
    <phoneticPr fontId="3" type="noConversion"/>
  </si>
  <si>
    <t>0.3Hz</t>
    <phoneticPr fontId="3" type="noConversion"/>
  </si>
  <si>
    <r>
      <t>DPR</t>
    </r>
    <r>
      <rPr>
        <b/>
        <sz val="11"/>
        <color rgb="FFFF0000"/>
        <rFont val="宋体"/>
        <family val="1"/>
        <charset val="134"/>
      </rPr>
      <t>机组的最大频差积分电量</t>
    </r>
    <phoneticPr fontId="3" type="noConversion"/>
  </si>
  <si>
    <r>
      <rPr>
        <sz val="11"/>
        <color theme="1"/>
        <rFont val="宋体"/>
        <family val="1"/>
        <charset val="134"/>
      </rPr>
      <t>分段点</t>
    </r>
    <phoneticPr fontId="3" type="noConversion"/>
  </si>
  <si>
    <r>
      <rPr>
        <sz val="11"/>
        <color theme="1"/>
        <rFont val="宋体"/>
        <family val="1"/>
        <charset val="134"/>
      </rPr>
      <t>分段点处的积分电量</t>
    </r>
    <phoneticPr fontId="3" type="noConversion"/>
  </si>
  <si>
    <r>
      <rPr>
        <sz val="11"/>
        <color theme="1"/>
        <rFont val="宋体"/>
        <family val="1"/>
        <charset val="134"/>
      </rPr>
      <t>分段直线斜率</t>
    </r>
    <phoneticPr fontId="3" type="noConversion"/>
  </si>
  <si>
    <r>
      <rPr>
        <sz val="11"/>
        <color theme="1"/>
        <rFont val="宋体"/>
        <family val="1"/>
        <charset val="134"/>
      </rPr>
      <t>分段直线截距</t>
    </r>
    <phoneticPr fontId="3" type="noConversion"/>
  </si>
  <si>
    <r>
      <t>DPR</t>
    </r>
    <r>
      <rPr>
        <b/>
        <sz val="11"/>
        <color rgb="FFFF0000"/>
        <rFont val="宋体"/>
        <family val="1"/>
        <charset val="134"/>
      </rPr>
      <t>机组的</t>
    </r>
    <r>
      <rPr>
        <b/>
        <sz val="11"/>
        <color rgb="FFFF0000"/>
        <rFont val="Times New Roman"/>
        <family val="1"/>
      </rPr>
      <t>60s</t>
    </r>
    <r>
      <rPr>
        <b/>
        <sz val="11"/>
        <color rgb="FFFF0000"/>
        <rFont val="宋体"/>
        <family val="1"/>
        <charset val="134"/>
      </rPr>
      <t>频差积分电量</t>
    </r>
    <phoneticPr fontId="3" type="noConversion"/>
  </si>
  <si>
    <r>
      <rPr>
        <b/>
        <sz val="11"/>
        <color rgb="FFFF0000"/>
        <rFont val="宋体"/>
        <family val="1"/>
        <charset val="134"/>
      </rPr>
      <t>频率增方向扰动的积分电量应为负值，此处取模值</t>
    </r>
    <phoneticPr fontId="3" type="noConversion"/>
  </si>
  <si>
    <r>
      <rPr>
        <b/>
        <sz val="11"/>
        <color rgb="FFFF0000"/>
        <rFont val="宋体"/>
        <family val="1"/>
        <charset val="134"/>
      </rPr>
      <t>计算所用的频率扰动为阶跃波形，阶跃幅值为</t>
    </r>
    <r>
      <rPr>
        <b/>
        <sz val="11"/>
        <color rgb="FFFF0000"/>
        <rFont val="Times New Roman"/>
        <family val="1"/>
      </rPr>
      <t>60s</t>
    </r>
    <r>
      <rPr>
        <b/>
        <sz val="11"/>
        <color rgb="FFFF0000"/>
        <rFont val="宋体"/>
        <family val="1"/>
        <charset val="134"/>
      </rPr>
      <t>频差限值</t>
    </r>
    <phoneticPr fontId="3" type="noConversion"/>
  </si>
  <si>
    <r>
      <rPr>
        <b/>
        <sz val="11"/>
        <color rgb="FFFF0000"/>
        <rFont val="宋体"/>
        <family val="1"/>
        <charset val="134"/>
      </rPr>
      <t>计算所用的频率扰动为二次函数波形，原点处斜率为初始频率变化率限值，极值为最大频差限值</t>
    </r>
    <phoneticPr fontId="3" type="noConversion"/>
  </si>
  <si>
    <r>
      <rPr>
        <sz val="12"/>
        <color rgb="FF000000"/>
        <rFont val="宋体"/>
        <family val="1"/>
        <charset val="134"/>
      </rPr>
      <t>机组单位造价</t>
    </r>
    <r>
      <rPr>
        <sz val="12"/>
        <color rgb="FF000000"/>
        <rFont val="Times New Roman"/>
        <family val="1"/>
      </rPr>
      <t>/(¥/MW)</t>
    </r>
    <phoneticPr fontId="3" type="noConversion"/>
  </si>
  <si>
    <r>
      <t>RPR</t>
    </r>
    <r>
      <rPr>
        <sz val="12"/>
        <color theme="1"/>
        <rFont val="宋体"/>
        <family val="1"/>
        <charset val="134"/>
      </rPr>
      <t>区域爬坡用时</t>
    </r>
    <r>
      <rPr>
        <sz val="12"/>
        <color theme="1"/>
        <rFont val="Times New Roman"/>
        <family val="1"/>
      </rPr>
      <t>/min</t>
    </r>
    <phoneticPr fontId="3" type="noConversion"/>
  </si>
  <si>
    <r>
      <t>DPR</t>
    </r>
    <r>
      <rPr>
        <sz val="12"/>
        <color theme="1"/>
        <rFont val="宋体"/>
        <family val="1"/>
        <charset val="134"/>
      </rPr>
      <t>区域爬坡用时</t>
    </r>
    <r>
      <rPr>
        <sz val="12"/>
        <color theme="1"/>
        <rFont val="Times New Roman"/>
        <family val="1"/>
      </rPr>
      <t>/min</t>
    </r>
    <phoneticPr fontId="3" type="noConversion"/>
  </si>
  <si>
    <r>
      <t>DPRO</t>
    </r>
    <r>
      <rPr>
        <sz val="12"/>
        <color theme="1"/>
        <rFont val="宋体"/>
        <family val="1"/>
        <charset val="134"/>
      </rPr>
      <t>区域爬坡用时</t>
    </r>
    <r>
      <rPr>
        <sz val="12"/>
        <color theme="1"/>
        <rFont val="Times New Roman"/>
        <family val="1"/>
      </rPr>
      <t>/min</t>
    </r>
    <phoneticPr fontId="3" type="noConversion"/>
  </si>
  <si>
    <r>
      <rPr>
        <b/>
        <sz val="12"/>
        <color theme="1"/>
        <rFont val="宋体"/>
        <family val="3"/>
        <charset val="134"/>
      </rPr>
      <t>火电机组参数</t>
    </r>
    <phoneticPr fontId="3" type="noConversion"/>
  </si>
  <si>
    <r>
      <rPr>
        <b/>
        <sz val="12"/>
        <color theme="1"/>
        <rFont val="宋体"/>
        <family val="3"/>
        <charset val="134"/>
      </rPr>
      <t>参考文献</t>
    </r>
    <phoneticPr fontId="3" type="noConversion"/>
  </si>
  <si>
    <r>
      <rPr>
        <sz val="12"/>
        <color theme="1"/>
        <rFont val="宋体"/>
        <family val="3"/>
        <charset val="134"/>
      </rPr>
      <t>面向灵活性发电的燃煤机组大气排放特性分析</t>
    </r>
  </si>
  <si>
    <r>
      <rPr>
        <sz val="12"/>
        <color theme="1"/>
        <rFont val="宋体"/>
        <family val="1"/>
        <charset val="134"/>
      </rPr>
      <t>启停与持续时间</t>
    </r>
    <phoneticPr fontId="3" type="noConversion"/>
  </si>
  <si>
    <r>
      <rPr>
        <sz val="12"/>
        <color theme="1"/>
        <rFont val="宋体"/>
        <family val="1"/>
        <charset val="134"/>
      </rPr>
      <t>高压缸输出功率占比</t>
    </r>
    <phoneticPr fontId="3" type="noConversion"/>
  </si>
  <si>
    <r>
      <rPr>
        <sz val="12"/>
        <color theme="1"/>
        <rFont val="宋体"/>
        <family val="3"/>
        <charset val="134"/>
      </rPr>
      <t>火电机组灵活运行下的负荷频率控制优化研究</t>
    </r>
  </si>
  <si>
    <r>
      <rPr>
        <sz val="12"/>
        <color theme="1"/>
        <rFont val="宋体"/>
        <family val="1"/>
        <charset val="134"/>
      </rPr>
      <t>高压缸功率自然过调系数</t>
    </r>
    <phoneticPr fontId="3" type="noConversion"/>
  </si>
  <si>
    <r>
      <rPr>
        <sz val="12"/>
        <color theme="1"/>
        <rFont val="宋体"/>
        <family val="1"/>
        <charset val="134"/>
      </rPr>
      <t>单位功率造价</t>
    </r>
    <phoneticPr fontId="3" type="noConversion"/>
  </si>
  <si>
    <r>
      <rPr>
        <sz val="12"/>
        <color theme="1"/>
        <rFont val="宋体"/>
        <family val="1"/>
        <charset val="134"/>
      </rPr>
      <t>寿命损耗率</t>
    </r>
    <phoneticPr fontId="3" type="noConversion"/>
  </si>
  <si>
    <r>
      <t>DPRO</t>
    </r>
    <r>
      <rPr>
        <sz val="12"/>
        <color theme="1"/>
        <rFont val="宋体"/>
        <family val="1"/>
        <charset val="134"/>
      </rPr>
      <t>燃料油消耗速度</t>
    </r>
    <phoneticPr fontId="3" type="noConversion"/>
  </si>
  <si>
    <r>
      <rPr>
        <sz val="12"/>
        <color theme="1"/>
        <rFont val="宋体"/>
        <family val="3"/>
        <charset val="134"/>
      </rPr>
      <t>面向新型电力系统灵活性提升的调峰容量补偿机制设计</t>
    </r>
  </si>
  <si>
    <t>N</t>
    <phoneticPr fontId="3" type="noConversion"/>
  </si>
  <si>
    <r>
      <rPr>
        <sz val="12"/>
        <color theme="1"/>
        <rFont val="宋体"/>
        <family val="1"/>
        <charset val="134"/>
      </rPr>
      <t>单位小时寿命损耗率</t>
    </r>
    <phoneticPr fontId="3" type="noConversion"/>
  </si>
  <si>
    <r>
      <rPr>
        <b/>
        <sz val="12"/>
        <color theme="4"/>
        <rFont val="宋体"/>
        <family val="3"/>
        <charset val="134"/>
      </rPr>
      <t>问题：损耗率偏大，导致各机组不愿意主动参与深度调峰，不再采用该论文方法</t>
    </r>
    <r>
      <rPr>
        <b/>
        <sz val="12"/>
        <color theme="4"/>
        <rFont val="Times New Roman"/>
        <family val="1"/>
      </rPr>
      <t>(20231217)</t>
    </r>
    <phoneticPr fontId="3" type="noConversion"/>
  </si>
  <si>
    <t>寿命损耗率</t>
    <phoneticPr fontId="3" type="noConversion"/>
  </si>
  <si>
    <t>参考文献</t>
    <phoneticPr fontId="3" type="noConversion"/>
  </si>
  <si>
    <r>
      <rPr>
        <sz val="12"/>
        <color theme="1"/>
        <rFont val="宋体"/>
        <family val="1"/>
        <charset val="134"/>
      </rPr>
      <t>转子致裂循环周期</t>
    </r>
    <phoneticPr fontId="3" type="noConversion"/>
  </si>
  <si>
    <r>
      <t>考虑火</t>
    </r>
    <r>
      <rPr>
        <b/>
        <sz val="12"/>
        <color rgb="FFFF0000"/>
        <rFont val="Times New Roman"/>
        <family val="1"/>
      </rPr>
      <t>-</t>
    </r>
    <r>
      <rPr>
        <b/>
        <sz val="12"/>
        <color rgb="FFFF0000"/>
        <rFont val="宋体"/>
        <family val="3"/>
        <charset val="134"/>
      </rPr>
      <t>储深度调峰容量二次分配的含风电电力系统分层优化调度</t>
    </r>
  </si>
  <si>
    <t>Multi‑objective optimization of coal‑fired power units considering deep peaking regulation in China</t>
    <phoneticPr fontId="3" type="noConversion"/>
  </si>
  <si>
    <t>面向深度调峰的火电机组灵活性改造规划模型</t>
  </si>
  <si>
    <t>Low-carbon economic dispatch of Photovoltaic-Carbon capture power plant considering deep peak regulation</t>
  </si>
  <si>
    <t>Day-ahead Optimal Dispatch Model for Coupled
System Considering Ladder-type Ramping Rate and Flexible Spinning Reserve of Thermal Power Units</t>
    <phoneticPr fontId="3" type="noConversion"/>
  </si>
  <si>
    <t>机组负荷率</t>
    <phoneticPr fontId="3" type="noConversion"/>
  </si>
  <si>
    <t>面向新型电力系统灵活性提升的调峰容量补偿机制设计</t>
  </si>
  <si>
    <r>
      <rPr>
        <sz val="12"/>
        <color theme="1"/>
        <rFont val="宋体"/>
        <family val="1"/>
        <charset val="134"/>
      </rPr>
      <t>额定功率</t>
    </r>
    <r>
      <rPr>
        <sz val="12"/>
        <color theme="1"/>
        <rFont val="Times New Roman"/>
        <family val="1"/>
      </rPr>
      <t>/MW</t>
    </r>
    <phoneticPr fontId="3" type="noConversion"/>
  </si>
  <si>
    <r>
      <rPr>
        <sz val="12"/>
        <color theme="1"/>
        <rFont val="宋体"/>
        <family val="1"/>
        <charset val="134"/>
      </rPr>
      <t>购机费用</t>
    </r>
    <r>
      <rPr>
        <sz val="12"/>
        <color theme="1"/>
        <rFont val="Times New Roman"/>
        <family val="1"/>
      </rPr>
      <t>/¥</t>
    </r>
    <phoneticPr fontId="3" type="noConversion"/>
  </si>
  <si>
    <r>
      <rPr>
        <sz val="12"/>
        <color theme="1"/>
        <rFont val="宋体"/>
        <family val="1"/>
        <charset val="134"/>
      </rPr>
      <t>单位功率造价</t>
    </r>
    <r>
      <rPr>
        <sz val="12"/>
        <color theme="1"/>
        <rFont val="Times New Roman"/>
        <family val="1"/>
      </rPr>
      <t>/(¥/kW)</t>
    </r>
    <phoneticPr fontId="3" type="noConversion"/>
  </si>
  <si>
    <t>储能辅助火电机组深度调峰的分层优化调度</t>
  </si>
  <si>
    <t>煤耗成本(合理即可)</t>
    <phoneticPr fontId="3" type="noConversion"/>
  </si>
  <si>
    <r>
      <t>Multi‑objective optimization of coal‑fired power units considering</t>
    </r>
    <r>
      <rPr>
        <sz val="12"/>
        <color theme="1"/>
        <rFont val="宋体"/>
        <family val="1"/>
        <charset val="134"/>
      </rPr>
      <t xml:space="preserve"> </t>
    </r>
    <r>
      <rPr>
        <sz val="12"/>
        <color theme="1"/>
        <rFont val="Times New Roman"/>
        <family val="1"/>
      </rPr>
      <t>deep peaking regulation in China</t>
    </r>
    <phoneticPr fontId="3" type="noConversion"/>
  </si>
  <si>
    <t>Day-ahead Optimal Dispatch Model for Coupled
System Considering Ladder-type Ramping Rate and Flexible Spinning Reserve of Thermal Power Units</t>
    <phoneticPr fontId="3" type="noConversion"/>
  </si>
  <si>
    <t>面向深度调峰的火电机组灵活性改造规划模型</t>
    <phoneticPr fontId="3" type="noConversion"/>
  </si>
  <si>
    <t>寿命损耗率(转子致裂循环周期)</t>
    <phoneticPr fontId="3" type="noConversion"/>
  </si>
  <si>
    <r>
      <rPr>
        <sz val="12"/>
        <color rgb="FF000000"/>
        <rFont val="宋体"/>
        <family val="1"/>
        <charset val="134"/>
      </rPr>
      <t>寿命损耗率一次项系数</t>
    </r>
    <r>
      <rPr>
        <sz val="12"/>
        <color rgb="FF000000"/>
        <rFont val="Times New Roman"/>
        <family val="1"/>
      </rPr>
      <t>/(p.u.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·h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  <phoneticPr fontId="3" type="noConversion"/>
  </si>
  <si>
    <r>
      <rPr>
        <sz val="12"/>
        <color rgb="FF000000"/>
        <rFont val="宋体"/>
        <family val="1"/>
        <charset val="134"/>
      </rPr>
      <t>寿命损耗率常数项</t>
    </r>
    <r>
      <rPr>
        <sz val="12"/>
        <color rgb="FF000000"/>
        <rFont val="Times New Roman"/>
        <family val="1"/>
      </rPr>
      <t>/(h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  <phoneticPr fontId="3" type="noConversion"/>
  </si>
  <si>
    <r>
      <rPr>
        <sz val="12"/>
        <color theme="1"/>
        <rFont val="宋体"/>
        <family val="3"/>
        <charset val="134"/>
      </rPr>
      <t>功率</t>
    </r>
    <phoneticPr fontId="3" type="noConversion"/>
  </si>
  <si>
    <t>煤耗成本</t>
    <phoneticPr fontId="3" type="noConversion"/>
  </si>
  <si>
    <t>碳排放成本</t>
    <phoneticPr fontId="3" type="noConversion"/>
  </si>
  <si>
    <t>转子损耗成本</t>
    <phoneticPr fontId="3" type="noConversion"/>
  </si>
  <si>
    <t>投油成本</t>
    <phoneticPr fontId="3" type="noConversion"/>
  </si>
  <si>
    <t>总成本</t>
    <phoneticPr fontId="3" type="noConversion"/>
  </si>
  <si>
    <r>
      <rPr>
        <sz val="12"/>
        <color theme="1"/>
        <rFont val="宋体"/>
        <family val="1"/>
        <charset val="134"/>
      </rPr>
      <t>单位小时</t>
    </r>
    <r>
      <rPr>
        <sz val="12"/>
        <color theme="1"/>
        <rFont val="Times New Roman"/>
        <family val="1"/>
      </rPr>
      <t>G1</t>
    </r>
    <r>
      <rPr>
        <sz val="12"/>
        <color theme="1"/>
        <rFont val="宋体"/>
        <family val="1"/>
        <charset val="134"/>
      </rPr>
      <t>成本</t>
    </r>
    <phoneticPr fontId="3" type="noConversion"/>
  </si>
  <si>
    <r>
      <rPr>
        <sz val="12"/>
        <color theme="1"/>
        <rFont val="宋体"/>
        <family val="3"/>
        <charset val="134"/>
      </rPr>
      <t>备注</t>
    </r>
    <phoneticPr fontId="3" type="noConversion"/>
  </si>
  <si>
    <r>
      <rPr>
        <sz val="12"/>
        <color theme="1"/>
        <rFont val="宋体"/>
        <family val="3"/>
        <charset val="134"/>
      </rPr>
      <t>油价</t>
    </r>
    <r>
      <rPr>
        <sz val="12"/>
        <color theme="1"/>
        <rFont val="Times New Roman"/>
        <family val="1"/>
      </rPr>
      <t>(¥/t)</t>
    </r>
    <phoneticPr fontId="3" type="noConversion"/>
  </si>
  <si>
    <r>
      <rPr>
        <sz val="12"/>
        <color theme="1"/>
        <rFont val="宋体"/>
        <family val="3"/>
        <charset val="134"/>
      </rPr>
      <t>参考文献：面向深度调峰的火电机组灵活性改造规划模型；</t>
    </r>
    <r>
      <rPr>
        <sz val="12"/>
        <color theme="1"/>
        <rFont val="Times New Roman"/>
        <family val="1"/>
      </rPr>
      <t>Low-carbon economic dispatch of Photovoltaic-Carbon capture power plant
considering deep peak regulation</t>
    </r>
    <phoneticPr fontId="3" type="noConversion"/>
  </si>
  <si>
    <r>
      <rPr>
        <sz val="12"/>
        <color theme="1"/>
        <rFont val="宋体"/>
        <family val="3"/>
        <charset val="134"/>
      </rPr>
      <t>负荷频率响应系数</t>
    </r>
    <phoneticPr fontId="3" type="noConversion"/>
  </si>
  <si>
    <r>
      <rPr>
        <sz val="12"/>
        <color theme="1"/>
        <rFont val="宋体"/>
        <family val="3"/>
        <charset val="134"/>
      </rPr>
      <t>额定频率</t>
    </r>
    <r>
      <rPr>
        <sz val="12"/>
        <color theme="1"/>
        <rFont val="Times New Roman"/>
        <family val="1"/>
      </rPr>
      <t>/Hz</t>
    </r>
    <phoneticPr fontId="3" type="noConversion"/>
  </si>
  <si>
    <r>
      <rPr>
        <sz val="12"/>
        <color theme="1"/>
        <rFont val="宋体"/>
        <family val="3"/>
        <charset val="134"/>
      </rPr>
      <t>碳交易价格</t>
    </r>
    <r>
      <rPr>
        <sz val="12"/>
        <color theme="1"/>
        <rFont val="Times New Roman"/>
        <family val="1"/>
      </rPr>
      <t>/(¥/t)</t>
    </r>
    <phoneticPr fontId="3" type="noConversion"/>
  </si>
  <si>
    <r>
      <rPr>
        <sz val="12"/>
        <color theme="1"/>
        <rFont val="宋体"/>
        <family val="3"/>
        <charset val="134"/>
      </rPr>
      <t>参考文献：</t>
    </r>
    <r>
      <rPr>
        <sz val="12"/>
        <color theme="1"/>
        <rFont val="Times New Roman"/>
        <family val="1"/>
      </rPr>
      <t>Low-carbon economic dispatch of Photovoltaic-Carbon capture power plant considering deep peak regulation</t>
    </r>
    <phoneticPr fontId="3" type="noConversion"/>
  </si>
  <si>
    <r>
      <rPr>
        <sz val="12"/>
        <color theme="1"/>
        <rFont val="宋体"/>
        <family val="3"/>
        <charset val="134"/>
      </rPr>
      <t>线路容量上限</t>
    </r>
    <r>
      <rPr>
        <sz val="12"/>
        <color theme="1"/>
        <rFont val="Times New Roman"/>
        <family val="1"/>
      </rPr>
      <t>/MW</t>
    </r>
    <phoneticPr fontId="3" type="noConversion"/>
  </si>
  <si>
    <r>
      <rPr>
        <sz val="12"/>
        <color theme="1"/>
        <rFont val="宋体"/>
        <family val="3"/>
        <charset val="134"/>
      </rPr>
      <t>电压等级</t>
    </r>
    <r>
      <rPr>
        <sz val="12"/>
        <color theme="1"/>
        <rFont val="Times New Roman"/>
        <family val="1"/>
      </rPr>
      <t>/kV</t>
    </r>
    <phoneticPr fontId="3" type="noConversion"/>
  </si>
  <si>
    <t>功率突减扰动</t>
    <phoneticPr fontId="3" type="noConversion"/>
  </si>
  <si>
    <t>功率突增扰动</t>
    <phoneticPr fontId="3" type="noConversion"/>
  </si>
  <si>
    <r>
      <rPr>
        <sz val="12"/>
        <color theme="1"/>
        <rFont val="宋体"/>
        <family val="3"/>
        <charset val="134"/>
      </rPr>
      <t>假设风电场容量为</t>
    </r>
    <r>
      <rPr>
        <sz val="12"/>
        <color theme="1"/>
        <rFont val="Times New Roman"/>
        <family val="1"/>
      </rPr>
      <t>600MW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Times New Roman"/>
        <family val="1"/>
      </rPr>
      <t>500MW</t>
    </r>
    <phoneticPr fontId="3" type="noConversion"/>
  </si>
  <si>
    <r>
      <rPr>
        <sz val="12"/>
        <color theme="1"/>
        <rFont val="宋体"/>
        <family val="3"/>
        <charset val="134"/>
      </rPr>
      <t>风电阶跃扰动比例</t>
    </r>
    <phoneticPr fontId="3" type="noConversion"/>
  </si>
  <si>
    <r>
      <rPr>
        <sz val="12"/>
        <color theme="1"/>
        <rFont val="宋体"/>
        <family val="3"/>
        <charset val="134"/>
      </rPr>
      <t>负荷阶跃扰动比例</t>
    </r>
    <phoneticPr fontId="3" type="noConversion"/>
  </si>
  <si>
    <r>
      <rPr>
        <sz val="12"/>
        <color theme="1"/>
        <rFont val="宋体"/>
        <family val="3"/>
        <charset val="134"/>
      </rPr>
      <t>系统消纳率下限</t>
    </r>
    <phoneticPr fontId="3" type="noConversion"/>
  </si>
  <si>
    <r>
      <rPr>
        <sz val="12"/>
        <color theme="1"/>
        <rFont val="宋体"/>
        <family val="3"/>
        <charset val="134"/>
      </rPr>
      <t>弃风惩罚成本系数</t>
    </r>
    <r>
      <rPr>
        <sz val="12"/>
        <color theme="1"/>
        <rFont val="Times New Roman"/>
        <family val="1"/>
      </rPr>
      <t>/(¥/h)</t>
    </r>
    <phoneticPr fontId="3" type="noConversion"/>
  </si>
  <si>
    <t>积分电量迭代调整比例</t>
    <phoneticPr fontId="3" type="noConversion"/>
  </si>
  <si>
    <r>
      <rPr>
        <sz val="12"/>
        <color theme="1"/>
        <rFont val="宋体"/>
        <family val="1"/>
        <charset val="134"/>
      </rPr>
      <t>功率阶跃扰动</t>
    </r>
    <r>
      <rPr>
        <sz val="12"/>
        <color theme="1"/>
        <rFont val="Times New Roman"/>
        <family val="1"/>
      </rPr>
      <t>/MW</t>
    </r>
    <phoneticPr fontId="3" type="noConversion"/>
  </si>
  <si>
    <r>
      <rPr>
        <sz val="12"/>
        <color theme="1"/>
        <rFont val="宋体"/>
        <family val="1"/>
        <charset val="134"/>
      </rPr>
      <t>阶梯式爬坡</t>
    </r>
    <r>
      <rPr>
        <sz val="12"/>
        <color theme="1"/>
        <rFont val="Times New Roman"/>
        <family val="1"/>
      </rPr>
      <t>(</t>
    </r>
    <r>
      <rPr>
        <sz val="12"/>
        <color theme="1"/>
        <rFont val="宋体"/>
        <family val="1"/>
        <charset val="134"/>
      </rPr>
      <t>上爬坡自下而上分为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1"/>
        <charset val="134"/>
      </rPr>
      <t>个区，下爬坡相当于反时序的上爬坡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</si>
  <si>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宋体"/>
        <family val="1"/>
        <charset val="134"/>
      </rPr>
      <t>功率分区点</t>
    </r>
    <r>
      <rPr>
        <sz val="12"/>
        <color theme="1"/>
        <rFont val="Times New Roman"/>
        <family val="1"/>
      </rPr>
      <t>/MW</t>
    </r>
    <phoneticPr fontId="3" type="noConversion"/>
  </si>
  <si>
    <r>
      <rPr>
        <sz val="12"/>
        <color theme="1"/>
        <rFont val="宋体"/>
        <family val="1"/>
        <charset val="134"/>
      </rPr>
      <t>时段</t>
    </r>
    <r>
      <rPr>
        <sz val="12"/>
        <color theme="1"/>
        <rFont val="Times New Roman"/>
        <family val="1"/>
      </rPr>
      <t>/h</t>
    </r>
    <phoneticPr fontId="3" type="noConversion"/>
  </si>
  <si>
    <r>
      <rPr>
        <sz val="12"/>
        <color theme="1"/>
        <rFont val="宋体"/>
        <family val="3"/>
        <charset val="134"/>
      </rPr>
      <t>时段</t>
    </r>
    <r>
      <rPr>
        <sz val="12"/>
        <color theme="1"/>
        <rFont val="Times New Roman"/>
        <family val="1"/>
      </rPr>
      <t>/h</t>
    </r>
    <phoneticPr fontId="3" type="noConversion"/>
  </si>
  <si>
    <r>
      <rPr>
        <sz val="12"/>
        <color theme="1"/>
        <rFont val="宋体"/>
        <family val="3"/>
        <charset val="134"/>
      </rPr>
      <t>风电预测出力</t>
    </r>
    <r>
      <rPr>
        <sz val="12"/>
        <color theme="1"/>
        <rFont val="Times New Roman"/>
        <family val="1"/>
      </rPr>
      <t>/MW</t>
    </r>
    <phoneticPr fontId="3" type="noConversion"/>
  </si>
  <si>
    <r>
      <rPr>
        <sz val="12"/>
        <color theme="1"/>
        <rFont val="宋体"/>
        <family val="3"/>
        <charset val="134"/>
      </rPr>
      <t>风电预测误差</t>
    </r>
    <r>
      <rPr>
        <sz val="12"/>
        <color theme="1"/>
        <rFont val="Times New Roman"/>
        <family val="1"/>
      </rPr>
      <t>/MW</t>
    </r>
    <phoneticPr fontId="3" type="noConversion"/>
  </si>
  <si>
    <r>
      <rPr>
        <sz val="12"/>
        <color theme="1"/>
        <rFont val="宋体"/>
        <family val="3"/>
        <charset val="134"/>
      </rPr>
      <t>误差生成器</t>
    </r>
    <phoneticPr fontId="3" type="noConversion"/>
  </si>
  <si>
    <r>
      <rPr>
        <sz val="12"/>
        <color theme="1"/>
        <rFont val="宋体"/>
        <family val="3"/>
        <charset val="134"/>
      </rPr>
      <t>风电</t>
    </r>
    <r>
      <rPr>
        <sz val="12"/>
        <color theme="1"/>
        <rFont val="Times New Roman"/>
        <family val="1"/>
      </rPr>
      <t>W1</t>
    </r>
    <r>
      <rPr>
        <sz val="12"/>
        <color theme="1"/>
        <rFont val="宋体"/>
        <family val="3"/>
        <charset val="134"/>
      </rPr>
      <t>预测出力边界</t>
    </r>
    <r>
      <rPr>
        <sz val="12"/>
        <color theme="1"/>
        <rFont val="Times New Roman"/>
        <family val="1"/>
      </rPr>
      <t>/MW</t>
    </r>
    <phoneticPr fontId="3" type="noConversion"/>
  </si>
  <si>
    <r>
      <rPr>
        <sz val="12"/>
        <color theme="1"/>
        <rFont val="宋体"/>
        <family val="3"/>
        <charset val="134"/>
      </rPr>
      <t>风电</t>
    </r>
    <r>
      <rPr>
        <sz val="12"/>
        <color theme="1"/>
        <rFont val="Times New Roman"/>
        <family val="1"/>
      </rPr>
      <t>W2</t>
    </r>
    <r>
      <rPr>
        <sz val="12"/>
        <color theme="1"/>
        <rFont val="宋体"/>
        <family val="3"/>
        <charset val="134"/>
      </rPr>
      <t>预测出力边界</t>
    </r>
    <r>
      <rPr>
        <sz val="12"/>
        <color theme="1"/>
        <rFont val="Times New Roman"/>
        <family val="1"/>
      </rPr>
      <t>/MW</t>
    </r>
    <phoneticPr fontId="3" type="noConversion"/>
  </si>
  <si>
    <r>
      <rPr>
        <sz val="12"/>
        <color theme="1"/>
        <rFont val="宋体"/>
        <family val="3"/>
        <charset val="134"/>
      </rPr>
      <t>基准风电</t>
    </r>
    <r>
      <rPr>
        <sz val="12"/>
        <color theme="1"/>
        <rFont val="Times New Roman"/>
        <family val="1"/>
      </rPr>
      <t>/MW</t>
    </r>
    <phoneticPr fontId="3" type="noConversion"/>
  </si>
  <si>
    <r>
      <rPr>
        <sz val="12"/>
        <color theme="1"/>
        <rFont val="宋体"/>
        <family val="3"/>
        <charset val="134"/>
      </rPr>
      <t>上边界</t>
    </r>
    <phoneticPr fontId="3" type="noConversion"/>
  </si>
  <si>
    <r>
      <rPr>
        <sz val="12"/>
        <color theme="1"/>
        <rFont val="宋体"/>
        <family val="3"/>
        <charset val="134"/>
      </rPr>
      <t>下边界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</si>
</sst>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0"/>
    <numFmt numFmtId="177" formatCode="0.0000"/>
    <numFmt numFmtId="178" formatCode="0.00_ "/>
    <numFmt numFmtId="179" formatCode="0.00000000%"/>
    <numFmt numFmtId="180" formatCode="0.0E+00"/>
    <numFmt numFmtId="181" formatCode="0.0000%"/>
    <numFmt numFmtId="182" formatCode="0.00000%"/>
    <numFmt numFmtId="183" formatCode="0.000000%"/>
    <numFmt numFmtId="184" formatCode="0.0000000%"/>
  </numFmts>
  <fonts count="29" x14ac:knownFonts="1">
    <font>
      <sz val="11"/>
      <color theme="1"/>
      <name val="等线"/>
      <family val="2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等线"/>
      <family val="3"/>
      <charset val="134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2"/>
      <color theme="1"/>
      <name val="宋体"/>
      <family val="1"/>
      <charset val="134"/>
    </font>
    <font>
      <sz val="12"/>
      <color theme="1"/>
      <name val="Times New Roman"/>
      <family val="1"/>
      <charset val="134"/>
    </font>
    <font>
      <vertAlign val="superscript"/>
      <sz val="12"/>
      <color theme="1"/>
      <name val="Times New Roman"/>
      <family val="1"/>
    </font>
    <font>
      <sz val="11"/>
      <color theme="1"/>
      <name val="等线"/>
      <family val="2"/>
      <scheme val="minor"/>
    </font>
    <font>
      <sz val="12"/>
      <color rgb="FF000000"/>
      <name val="宋体"/>
      <family val="1"/>
      <charset val="134"/>
    </font>
    <font>
      <vertAlign val="superscript"/>
      <sz val="12"/>
      <color rgb="FF000000"/>
      <name val="Times New Roman"/>
      <family val="1"/>
    </font>
    <font>
      <b/>
      <sz val="12"/>
      <color theme="1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1"/>
      <charset val="134"/>
    </font>
    <font>
      <b/>
      <sz val="12"/>
      <color rgb="FFFF0000"/>
      <name val="Times New Roman"/>
      <family val="1"/>
    </font>
    <font>
      <b/>
      <sz val="12"/>
      <color theme="4"/>
      <name val="Times New Roman"/>
      <family val="1"/>
    </font>
    <font>
      <b/>
      <sz val="12"/>
      <color theme="4"/>
      <name val="宋体"/>
      <family val="3"/>
      <charset val="134"/>
    </font>
    <font>
      <b/>
      <sz val="12"/>
      <color rgb="FFFF0000"/>
      <name val="宋体"/>
      <family val="1"/>
      <charset val="134"/>
    </font>
    <font>
      <sz val="12"/>
      <color rgb="FF000000"/>
      <name val="Times New Roman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7C578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BAE294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>
      <alignment vertical="center"/>
    </xf>
  </cellStyleXfs>
  <cellXfs count="78">
    <xf numFmtId="0" fontId="0" fillId="0" borderId="0" xfId="0"/>
    <xf numFmtId="0" fontId="6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9" fontId="2" fillId="0" borderId="0" xfId="1" applyNumberFormat="1" applyFont="1" applyAlignment="1">
      <alignment horizontal="center" vertical="center"/>
    </xf>
    <xf numFmtId="180" fontId="2" fillId="0" borderId="0" xfId="0" applyNumberFormat="1" applyFont="1" applyFill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18" fillId="4" borderId="0" xfId="0" applyFont="1" applyFill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0" fillId="0" borderId="0" xfId="0" applyFont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182" fontId="2" fillId="0" borderId="0" xfId="1" applyNumberFormat="1" applyFont="1" applyAlignment="1">
      <alignment horizontal="center" vertical="center"/>
    </xf>
    <xf numFmtId="183" fontId="2" fillId="0" borderId="0" xfId="1" applyNumberFormat="1" applyFont="1" applyAlignment="1">
      <alignment horizontal="center" vertical="center"/>
    </xf>
    <xf numFmtId="184" fontId="2" fillId="0" borderId="0" xfId="1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0" fillId="0" borderId="0" xfId="0" applyFont="1" applyAlignment="1"/>
    <xf numFmtId="181" fontId="2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5E23F1"/>
      <color rgb="FF379E54"/>
      <color rgb="FFCC00CC"/>
      <color rgb="FFB860D0"/>
      <color rgb="FFBAE294"/>
      <color rgb="FFECF7B1"/>
      <color rgb="FF77C5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W1</c:v>
          </c:tx>
          <c:spPr>
            <a:ln w="19050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xVal>
            <c:numRef>
              <c:f>wind!$A$3:$A$26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wind!$B$3:$B$26</c:f>
              <c:numCache>
                <c:formatCode>0.00</c:formatCode>
                <c:ptCount val="24"/>
                <c:pt idx="0">
                  <c:v>448.17</c:v>
                </c:pt>
                <c:pt idx="1">
                  <c:v>430.51</c:v>
                </c:pt>
                <c:pt idx="2">
                  <c:v>436.86</c:v>
                </c:pt>
                <c:pt idx="3">
                  <c:v>415.46</c:v>
                </c:pt>
                <c:pt idx="4">
                  <c:v>417.93</c:v>
                </c:pt>
                <c:pt idx="5">
                  <c:v>380.13</c:v>
                </c:pt>
                <c:pt idx="6">
                  <c:v>354.23</c:v>
                </c:pt>
                <c:pt idx="7">
                  <c:v>340.81</c:v>
                </c:pt>
                <c:pt idx="8">
                  <c:v>275.22000000000003</c:v>
                </c:pt>
                <c:pt idx="9">
                  <c:v>182.17</c:v>
                </c:pt>
                <c:pt idx="10">
                  <c:v>152.81</c:v>
                </c:pt>
                <c:pt idx="11">
                  <c:v>169.83</c:v>
                </c:pt>
                <c:pt idx="12">
                  <c:v>219.3</c:v>
                </c:pt>
                <c:pt idx="13">
                  <c:v>317.08</c:v>
                </c:pt>
                <c:pt idx="14">
                  <c:v>446.03</c:v>
                </c:pt>
                <c:pt idx="15">
                  <c:v>496.21</c:v>
                </c:pt>
                <c:pt idx="16">
                  <c:v>520.54999999999995</c:v>
                </c:pt>
                <c:pt idx="17">
                  <c:v>425.63</c:v>
                </c:pt>
                <c:pt idx="18">
                  <c:v>340.59</c:v>
                </c:pt>
                <c:pt idx="19">
                  <c:v>265.04000000000002</c:v>
                </c:pt>
                <c:pt idx="20">
                  <c:v>230.03</c:v>
                </c:pt>
                <c:pt idx="21">
                  <c:v>301.56</c:v>
                </c:pt>
                <c:pt idx="22">
                  <c:v>322.07</c:v>
                </c:pt>
                <c:pt idx="23">
                  <c:v>348.03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9-4233-93C9-E2844B994DD2}"/>
            </c:ext>
          </c:extLst>
        </c:ser>
        <c:ser>
          <c:idx val="1"/>
          <c:order val="1"/>
          <c:tx>
            <c:v>W2</c:v>
          </c:tx>
          <c:spPr>
            <a:ln w="19050" cap="rnd">
              <a:solidFill>
                <a:srgbClr val="5E23F1"/>
              </a:solidFill>
              <a:round/>
            </a:ln>
            <a:effectLst/>
          </c:spPr>
          <c:marker>
            <c:symbol val="none"/>
          </c:marker>
          <c:xVal>
            <c:numRef>
              <c:f>wind!$A$3:$A$26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wind!$C$3:$C$26</c:f>
              <c:numCache>
                <c:formatCode>0.00</c:formatCode>
                <c:ptCount val="24"/>
                <c:pt idx="0">
                  <c:v>383.54</c:v>
                </c:pt>
                <c:pt idx="1">
                  <c:v>375.24</c:v>
                </c:pt>
                <c:pt idx="2">
                  <c:v>355.92</c:v>
                </c:pt>
                <c:pt idx="3">
                  <c:v>344.47</c:v>
                </c:pt>
                <c:pt idx="4">
                  <c:v>352.57</c:v>
                </c:pt>
                <c:pt idx="5">
                  <c:v>370.09</c:v>
                </c:pt>
                <c:pt idx="6">
                  <c:v>404.66</c:v>
                </c:pt>
                <c:pt idx="7">
                  <c:v>419.28</c:v>
                </c:pt>
                <c:pt idx="8">
                  <c:v>329.63</c:v>
                </c:pt>
                <c:pt idx="9">
                  <c:v>222.79</c:v>
                </c:pt>
                <c:pt idx="10">
                  <c:v>160.06</c:v>
                </c:pt>
                <c:pt idx="11">
                  <c:v>146.19</c:v>
                </c:pt>
                <c:pt idx="12">
                  <c:v>182.5</c:v>
                </c:pt>
                <c:pt idx="13">
                  <c:v>280.3</c:v>
                </c:pt>
                <c:pt idx="14">
                  <c:v>375.94</c:v>
                </c:pt>
                <c:pt idx="15">
                  <c:v>429.94</c:v>
                </c:pt>
                <c:pt idx="16">
                  <c:v>461.9</c:v>
                </c:pt>
                <c:pt idx="17">
                  <c:v>380.78</c:v>
                </c:pt>
                <c:pt idx="18">
                  <c:v>298.95</c:v>
                </c:pt>
                <c:pt idx="19">
                  <c:v>253.12</c:v>
                </c:pt>
                <c:pt idx="20">
                  <c:v>217.83</c:v>
                </c:pt>
                <c:pt idx="21">
                  <c:v>208.7</c:v>
                </c:pt>
                <c:pt idx="22">
                  <c:v>235.86</c:v>
                </c:pt>
                <c:pt idx="23">
                  <c:v>281.3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B-485D-8203-4717036B6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25832"/>
        <c:axId val="576024520"/>
      </c:scatterChart>
      <c:scatterChart>
        <c:scatterStyle val="lineMarker"/>
        <c:varyColors val="0"/>
        <c:ser>
          <c:idx val="2"/>
          <c:order val="2"/>
          <c:tx>
            <c:v>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wind!$A$3:$A$26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load!$B$2:$B$25</c:f>
              <c:numCache>
                <c:formatCode>0.00</c:formatCode>
                <c:ptCount val="24"/>
                <c:pt idx="0">
                  <c:v>1332.288</c:v>
                </c:pt>
                <c:pt idx="1">
                  <c:v>1188.432</c:v>
                </c:pt>
                <c:pt idx="2">
                  <c:v>1113.7860000000001</c:v>
                </c:pt>
                <c:pt idx="3">
                  <c:v>1043.181</c:v>
                </c:pt>
                <c:pt idx="4">
                  <c:v>1015.5780000000001</c:v>
                </c:pt>
                <c:pt idx="5">
                  <c:v>1047.123</c:v>
                </c:pt>
                <c:pt idx="6">
                  <c:v>1093.9860000000001</c:v>
                </c:pt>
                <c:pt idx="7">
                  <c:v>1260.549</c:v>
                </c:pt>
                <c:pt idx="8">
                  <c:v>1617.2550000000001</c:v>
                </c:pt>
                <c:pt idx="9">
                  <c:v>1867.9409999999998</c:v>
                </c:pt>
                <c:pt idx="10">
                  <c:v>1944.576</c:v>
                </c:pt>
                <c:pt idx="11">
                  <c:v>1904.2200000000003</c:v>
                </c:pt>
                <c:pt idx="12">
                  <c:v>1815.03</c:v>
                </c:pt>
                <c:pt idx="13">
                  <c:v>1756.377</c:v>
                </c:pt>
                <c:pt idx="14">
                  <c:v>1712.079</c:v>
                </c:pt>
                <c:pt idx="15">
                  <c:v>1662.768</c:v>
                </c:pt>
                <c:pt idx="16">
                  <c:v>1701.441</c:v>
                </c:pt>
                <c:pt idx="17">
                  <c:v>1832.9760000000001</c:v>
                </c:pt>
                <c:pt idx="18">
                  <c:v>1994.1299999999999</c:v>
                </c:pt>
                <c:pt idx="19">
                  <c:v>2138.8679999999999</c:v>
                </c:pt>
                <c:pt idx="20">
                  <c:v>2030.9670000000001</c:v>
                </c:pt>
                <c:pt idx="21">
                  <c:v>1833.9570000000001</c:v>
                </c:pt>
                <c:pt idx="22">
                  <c:v>1648.1969999999999</c:v>
                </c:pt>
                <c:pt idx="23">
                  <c:v>1422.63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2-45AB-B365-E6C52861F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17256"/>
        <c:axId val="587013976"/>
      </c:scatterChart>
      <c:valAx>
        <c:axId val="576025832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non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576024520"/>
        <c:crosses val="autoZero"/>
        <c:crossBetween val="midCat"/>
        <c:minorUnit val="100"/>
      </c:valAx>
      <c:valAx>
        <c:axId val="576024520"/>
        <c:scaling>
          <c:orientation val="minMax"/>
          <c:max val="600"/>
          <c:min val="100"/>
        </c:scaling>
        <c:delete val="0"/>
        <c:axPos val="l"/>
        <c:numFmt formatCode="0.00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non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576025832"/>
        <c:crosses val="autoZero"/>
        <c:crossBetween val="midCat"/>
        <c:majorUnit val="100"/>
      </c:valAx>
      <c:valAx>
        <c:axId val="587013976"/>
        <c:scaling>
          <c:orientation val="minMax"/>
          <c:max val="2500"/>
          <c:min val="500"/>
        </c:scaling>
        <c:delete val="0"/>
        <c:axPos val="r"/>
        <c:numFmt formatCode="0.00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587017256"/>
        <c:crosses val="max"/>
        <c:crossBetween val="midCat"/>
      </c:valAx>
      <c:valAx>
        <c:axId val="587017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7013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300MW</a:t>
            </a:r>
            <a:r>
              <a:rPr lang="zh-CN" altLang="en-US"/>
              <a:t>机组</a:t>
            </a:r>
            <a:r>
              <a:rPr lang="en-US" altLang="zh-CN"/>
              <a:t>-DPRO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073767096110879E-3"/>
                  <c:y val="0.2049352295033023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寿命损耗率函数!$A$48:$A$93</c:f>
              <c:numCache>
                <c:formatCode>General</c:formatCode>
                <c:ptCount val="46"/>
                <c:pt idx="0">
                  <c:v>135</c:v>
                </c:pt>
                <c:pt idx="1">
                  <c:v>134</c:v>
                </c:pt>
                <c:pt idx="2">
                  <c:v>133</c:v>
                </c:pt>
                <c:pt idx="3">
                  <c:v>132</c:v>
                </c:pt>
                <c:pt idx="4">
                  <c:v>131</c:v>
                </c:pt>
                <c:pt idx="5">
                  <c:v>130</c:v>
                </c:pt>
                <c:pt idx="6">
                  <c:v>129</c:v>
                </c:pt>
                <c:pt idx="7">
                  <c:v>128</c:v>
                </c:pt>
                <c:pt idx="8">
                  <c:v>127</c:v>
                </c:pt>
                <c:pt idx="9">
                  <c:v>126</c:v>
                </c:pt>
                <c:pt idx="10">
                  <c:v>125</c:v>
                </c:pt>
                <c:pt idx="11">
                  <c:v>124</c:v>
                </c:pt>
                <c:pt idx="12">
                  <c:v>123</c:v>
                </c:pt>
                <c:pt idx="13">
                  <c:v>122</c:v>
                </c:pt>
                <c:pt idx="14">
                  <c:v>121</c:v>
                </c:pt>
                <c:pt idx="15">
                  <c:v>120</c:v>
                </c:pt>
                <c:pt idx="16">
                  <c:v>119</c:v>
                </c:pt>
                <c:pt idx="17">
                  <c:v>118</c:v>
                </c:pt>
                <c:pt idx="18">
                  <c:v>117</c:v>
                </c:pt>
                <c:pt idx="19">
                  <c:v>116</c:v>
                </c:pt>
                <c:pt idx="20">
                  <c:v>115</c:v>
                </c:pt>
                <c:pt idx="21">
                  <c:v>114</c:v>
                </c:pt>
                <c:pt idx="22">
                  <c:v>113</c:v>
                </c:pt>
                <c:pt idx="23">
                  <c:v>112</c:v>
                </c:pt>
                <c:pt idx="24">
                  <c:v>111</c:v>
                </c:pt>
                <c:pt idx="25">
                  <c:v>110</c:v>
                </c:pt>
                <c:pt idx="26">
                  <c:v>109</c:v>
                </c:pt>
                <c:pt idx="27">
                  <c:v>108</c:v>
                </c:pt>
                <c:pt idx="28">
                  <c:v>107</c:v>
                </c:pt>
                <c:pt idx="29">
                  <c:v>106</c:v>
                </c:pt>
                <c:pt idx="30">
                  <c:v>105</c:v>
                </c:pt>
                <c:pt idx="31">
                  <c:v>104</c:v>
                </c:pt>
                <c:pt idx="32">
                  <c:v>103</c:v>
                </c:pt>
                <c:pt idx="33">
                  <c:v>102</c:v>
                </c:pt>
                <c:pt idx="34">
                  <c:v>101</c:v>
                </c:pt>
                <c:pt idx="35">
                  <c:v>100</c:v>
                </c:pt>
                <c:pt idx="36">
                  <c:v>99</c:v>
                </c:pt>
                <c:pt idx="37">
                  <c:v>98</c:v>
                </c:pt>
                <c:pt idx="38">
                  <c:v>97</c:v>
                </c:pt>
                <c:pt idx="39">
                  <c:v>96</c:v>
                </c:pt>
                <c:pt idx="40">
                  <c:v>95</c:v>
                </c:pt>
                <c:pt idx="41">
                  <c:v>94</c:v>
                </c:pt>
                <c:pt idx="42">
                  <c:v>93</c:v>
                </c:pt>
                <c:pt idx="43">
                  <c:v>92</c:v>
                </c:pt>
                <c:pt idx="44">
                  <c:v>91</c:v>
                </c:pt>
                <c:pt idx="45">
                  <c:v>90</c:v>
                </c:pt>
              </c:numCache>
            </c:numRef>
          </c:xVal>
          <c:yVal>
            <c:numRef>
              <c:f>寿命损耗率函数!$C$48:$C$93</c:f>
              <c:numCache>
                <c:formatCode>0.00000000%</c:formatCode>
                <c:ptCount val="46"/>
                <c:pt idx="0">
                  <c:v>2.2347770257368204E-5</c:v>
                </c:pt>
                <c:pt idx="1">
                  <c:v>2.242486635893717E-5</c:v>
                </c:pt>
                <c:pt idx="2">
                  <c:v>2.2503223893541688E-5</c:v>
                </c:pt>
                <c:pt idx="3">
                  <c:v>2.258289911994796E-5</c:v>
                </c:pt>
                <c:pt idx="4">
                  <c:v>2.2663949859461654E-5</c:v>
                </c:pt>
                <c:pt idx="5">
                  <c:v>2.2746435565307606E-5</c:v>
                </c:pt>
                <c:pt idx="6">
                  <c:v>2.2830417396244873E-5</c:v>
                </c:pt>
                <c:pt idx="7">
                  <c:v>2.2915958294674781E-5</c:v>
                </c:pt>
                <c:pt idx="8">
                  <c:v>2.3003123069518389E-5</c:v>
                </c:pt>
                <c:pt idx="9">
                  <c:v>2.3091978484160992E-5</c:v>
                </c:pt>
                <c:pt idx="10">
                  <c:v>2.3182593349783314E-5</c:v>
                </c:pt>
                <c:pt idx="11">
                  <c:v>2.3275038624423856E-5</c:v>
                </c:pt>
                <c:pt idx="12">
                  <c:v>2.3369387518143503E-5</c:v>
                </c:pt>
                <c:pt idx="13">
                  <c:v>2.3465715604692392E-5</c:v>
                </c:pt>
                <c:pt idx="14">
                  <c:v>2.356410094011064E-5</c:v>
                </c:pt>
                <c:pt idx="15">
                  <c:v>2.3664624188729352E-5</c:v>
                </c:pt>
                <c:pt idx="16">
                  <c:v>2.3767368757075278E-5</c:v>
                </c:pt>
                <c:pt idx="17">
                  <c:v>2.3872420936224385E-5</c:v>
                </c:pt>
                <c:pt idx="18">
                  <c:v>2.3979870053193529E-5</c:v>
                </c:pt>
                <c:pt idx="19">
                  <c:v>2.4089808632009466E-5</c:v>
                </c:pt>
                <c:pt idx="20">
                  <c:v>2.4202332565147258E-5</c:v>
                </c:pt>
                <c:pt idx="21">
                  <c:v>2.4317541296089472E-5</c:v>
                </c:pt>
                <c:pt idx="22">
                  <c:v>2.4435538013821915E-5</c:v>
                </c:pt>
                <c:pt idx="23">
                  <c:v>2.4556429860152258E-5</c:v>
                </c:pt>
                <c:pt idx="24">
                  <c:v>2.4680328150815898E-5</c:v>
                </c:pt>
                <c:pt idx="25">
                  <c:v>2.4807348611418587E-5</c:v>
                </c:pt>
                <c:pt idx="26">
                  <c:v>2.4937611629359358E-5</c:v>
                </c:pt>
                <c:pt idx="27">
                  <c:v>2.5071242522981272E-5</c:v>
                </c:pt>
                <c:pt idx="28">
                  <c:v>2.5208371829311048E-5</c:v>
                </c:pt>
                <c:pt idx="29">
                  <c:v>2.534913561187528E-5</c:v>
                </c:pt>
                <c:pt idx="30">
                  <c:v>2.5493675790220141E-5</c:v>
                </c:pt>
                <c:pt idx="31">
                  <c:v>2.5642140492915224E-5</c:v>
                </c:pt>
                <c:pt idx="32">
                  <c:v>2.5794684435993596E-5</c:v>
                </c:pt>
                <c:pt idx="33">
                  <c:v>2.5951469328968636E-5</c:v>
                </c:pt>
                <c:pt idx="34">
                  <c:v>2.6112664310779231E-5</c:v>
                </c:pt>
                <c:pt idx="35">
                  <c:v>2.6278446418247754E-5</c:v>
                </c:pt>
                <c:pt idx="36">
                  <c:v>2.6449001089895722E-5</c:v>
                </c:pt>
                <c:pt idx="37">
                  <c:v>2.6624522708251799E-5</c:v>
                </c:pt>
                <c:pt idx="38">
                  <c:v>2.6805215184109597E-5</c:v>
                </c:pt>
                <c:pt idx="39">
                  <c:v>2.6991292586554817E-5</c:v>
                </c:pt>
                <c:pt idx="40">
                  <c:v>2.7182979822984706E-5</c:v>
                </c:pt>
                <c:pt idx="41">
                  <c:v>2.7380513373796208E-5</c:v>
                </c:pt>
                <c:pt idx="42">
                  <c:v>2.7584142086927448E-5</c:v>
                </c:pt>
                <c:pt idx="43">
                  <c:v>2.7794128038008041E-5</c:v>
                </c:pt>
                <c:pt idx="44">
                  <c:v>2.8010747462517107E-5</c:v>
                </c:pt>
                <c:pt idx="45">
                  <c:v>2.8234291767072516E-5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A-4A7E-B8EC-93737688A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79104"/>
        <c:axId val="613685008"/>
      </c:scatterChart>
      <c:valAx>
        <c:axId val="6136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3685008"/>
        <c:crosses val="autoZero"/>
        <c:crossBetween val="midCat"/>
      </c:valAx>
      <c:valAx>
        <c:axId val="6136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367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200MW</a:t>
            </a:r>
            <a:r>
              <a:rPr lang="zh-CN" altLang="en-US"/>
              <a:t>机组</a:t>
            </a:r>
            <a:r>
              <a:rPr lang="en-US" altLang="zh-CN"/>
              <a:t>-DPR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683591692652521E-2"/>
                  <c:y val="0.2259634068196013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寿命损耗率函数!$D$3:$D$33</c:f>
              <c:numCache>
                <c:formatCode>General</c:formatCode>
                <c:ptCount val="31"/>
                <c:pt idx="0">
                  <c:v>120</c:v>
                </c:pt>
                <c:pt idx="1">
                  <c:v>119</c:v>
                </c:pt>
                <c:pt idx="2">
                  <c:v>118</c:v>
                </c:pt>
                <c:pt idx="3">
                  <c:v>117</c:v>
                </c:pt>
                <c:pt idx="4">
                  <c:v>116</c:v>
                </c:pt>
                <c:pt idx="5">
                  <c:v>115</c:v>
                </c:pt>
                <c:pt idx="6">
                  <c:v>114</c:v>
                </c:pt>
                <c:pt idx="7">
                  <c:v>113</c:v>
                </c:pt>
                <c:pt idx="8">
                  <c:v>112</c:v>
                </c:pt>
                <c:pt idx="9">
                  <c:v>111</c:v>
                </c:pt>
                <c:pt idx="10">
                  <c:v>110</c:v>
                </c:pt>
                <c:pt idx="11">
                  <c:v>109</c:v>
                </c:pt>
                <c:pt idx="12">
                  <c:v>108</c:v>
                </c:pt>
                <c:pt idx="13">
                  <c:v>107</c:v>
                </c:pt>
                <c:pt idx="14">
                  <c:v>106</c:v>
                </c:pt>
                <c:pt idx="15">
                  <c:v>105</c:v>
                </c:pt>
                <c:pt idx="16">
                  <c:v>104</c:v>
                </c:pt>
                <c:pt idx="17">
                  <c:v>103</c:v>
                </c:pt>
                <c:pt idx="18">
                  <c:v>102</c:v>
                </c:pt>
                <c:pt idx="19">
                  <c:v>101</c:v>
                </c:pt>
                <c:pt idx="20">
                  <c:v>100</c:v>
                </c:pt>
                <c:pt idx="21">
                  <c:v>99</c:v>
                </c:pt>
                <c:pt idx="22">
                  <c:v>98</c:v>
                </c:pt>
                <c:pt idx="23">
                  <c:v>97</c:v>
                </c:pt>
                <c:pt idx="24">
                  <c:v>96</c:v>
                </c:pt>
                <c:pt idx="25">
                  <c:v>95</c:v>
                </c:pt>
                <c:pt idx="26">
                  <c:v>94</c:v>
                </c:pt>
                <c:pt idx="27">
                  <c:v>93</c:v>
                </c:pt>
                <c:pt idx="28">
                  <c:v>92</c:v>
                </c:pt>
                <c:pt idx="29">
                  <c:v>91</c:v>
                </c:pt>
                <c:pt idx="30">
                  <c:v>90</c:v>
                </c:pt>
              </c:numCache>
            </c:numRef>
          </c:xVal>
          <c:yVal>
            <c:numRef>
              <c:f>寿命损耗率函数!$F$3:$F$33</c:f>
              <c:numCache>
                <c:formatCode>0.00000000%</c:formatCode>
                <c:ptCount val="31"/>
                <c:pt idx="0">
                  <c:v>2.3664624188729352E-5</c:v>
                </c:pt>
                <c:pt idx="1">
                  <c:v>2.3767368757075278E-5</c:v>
                </c:pt>
                <c:pt idx="2">
                  <c:v>2.3872420936224385E-5</c:v>
                </c:pt>
                <c:pt idx="3">
                  <c:v>2.3979870053193529E-5</c:v>
                </c:pt>
                <c:pt idx="4">
                  <c:v>2.4089808632009466E-5</c:v>
                </c:pt>
                <c:pt idx="5">
                  <c:v>2.4202332565147258E-5</c:v>
                </c:pt>
                <c:pt idx="6">
                  <c:v>2.4317541296089472E-5</c:v>
                </c:pt>
                <c:pt idx="7">
                  <c:v>2.4435538013821915E-5</c:v>
                </c:pt>
                <c:pt idx="8">
                  <c:v>2.4556429860152258E-5</c:v>
                </c:pt>
                <c:pt idx="9">
                  <c:v>2.4680328150815898E-5</c:v>
                </c:pt>
                <c:pt idx="10">
                  <c:v>2.4807348611418587E-5</c:v>
                </c:pt>
                <c:pt idx="11">
                  <c:v>2.4937611629359358E-5</c:v>
                </c:pt>
                <c:pt idx="12">
                  <c:v>2.5071242522981272E-5</c:v>
                </c:pt>
                <c:pt idx="13">
                  <c:v>2.5208371829311048E-5</c:v>
                </c:pt>
                <c:pt idx="14">
                  <c:v>2.534913561187528E-5</c:v>
                </c:pt>
                <c:pt idx="15">
                  <c:v>2.5493675790220141E-5</c:v>
                </c:pt>
                <c:pt idx="16">
                  <c:v>2.5642140492915224E-5</c:v>
                </c:pt>
                <c:pt idx="17">
                  <c:v>2.5794684435993596E-5</c:v>
                </c:pt>
                <c:pt idx="18">
                  <c:v>2.5951469328968636E-5</c:v>
                </c:pt>
                <c:pt idx="19">
                  <c:v>2.6112664310779231E-5</c:v>
                </c:pt>
                <c:pt idx="20">
                  <c:v>2.6278446418247754E-5</c:v>
                </c:pt>
                <c:pt idx="21">
                  <c:v>2.6449001089895722E-5</c:v>
                </c:pt>
                <c:pt idx="22">
                  <c:v>2.6624522708251799E-5</c:v>
                </c:pt>
                <c:pt idx="23">
                  <c:v>2.6805215184109597E-5</c:v>
                </c:pt>
                <c:pt idx="24">
                  <c:v>2.6991292586554817E-5</c:v>
                </c:pt>
                <c:pt idx="25">
                  <c:v>2.7182979822984706E-5</c:v>
                </c:pt>
                <c:pt idx="26">
                  <c:v>2.7380513373796208E-5</c:v>
                </c:pt>
                <c:pt idx="27">
                  <c:v>2.7584142086927448E-5</c:v>
                </c:pt>
                <c:pt idx="28">
                  <c:v>2.7794128038008041E-5</c:v>
                </c:pt>
                <c:pt idx="29">
                  <c:v>2.8010747462517107E-5</c:v>
                </c:pt>
                <c:pt idx="30">
                  <c:v>2.8234291767072516E-5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21-4CA4-AE4B-3AB606B8B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99352"/>
        <c:axId val="520397384"/>
      </c:scatterChart>
      <c:valAx>
        <c:axId val="52039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20397384"/>
        <c:crosses val="autoZero"/>
        <c:crossBetween val="midCat"/>
      </c:valAx>
      <c:valAx>
        <c:axId val="5203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2039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200MW</a:t>
            </a:r>
            <a:r>
              <a:rPr lang="zh-CN" altLang="en-US"/>
              <a:t>机组</a:t>
            </a:r>
            <a:r>
              <a:rPr lang="en-US" altLang="zh-CN"/>
              <a:t>-DPRO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081695162173327E-2"/>
                  <c:y val="0.1747648362871489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寿命损耗率函数!$D$33:$D$63</c:f>
              <c:numCache>
                <c:formatCode>General</c:formatCode>
                <c:ptCount val="31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</c:numCache>
            </c:numRef>
          </c:xVal>
          <c:yVal>
            <c:numRef>
              <c:f>寿命损耗率函数!$F$33:$F$63</c:f>
              <c:numCache>
                <c:formatCode>0.00000000%</c:formatCode>
                <c:ptCount val="31"/>
                <c:pt idx="0">
                  <c:v>2.8234291767072516E-5</c:v>
                </c:pt>
                <c:pt idx="1">
                  <c:v>2.8465068627792867E-5</c:v>
                </c:pt>
                <c:pt idx="2">
                  <c:v>2.8703403184600424E-5</c:v>
                </c:pt>
                <c:pt idx="3">
                  <c:v>2.8949639341380666E-5</c:v>
                </c:pt>
                <c:pt idx="4">
                  <c:v>2.9204141183105808E-5</c:v>
                </c:pt>
                <c:pt idx="5">
                  <c:v>2.9467294522382087E-5</c:v>
                </c:pt>
                <c:pt idx="6">
                  <c:v>2.973950858942291E-5</c:v>
                </c:pt>
                <c:pt idx="7">
                  <c:v>3.0021217881209974E-5</c:v>
                </c:pt>
                <c:pt idx="8">
                  <c:v>3.0312884187616096E-5</c:v>
                </c:pt>
                <c:pt idx="9">
                  <c:v>3.0614998814570706E-5</c:v>
                </c:pt>
                <c:pt idx="10">
                  <c:v>3.0928085026996504E-5</c:v>
                </c:pt>
                <c:pt idx="11">
                  <c:v>3.1252700737293493E-5</c:v>
                </c:pt>
                <c:pt idx="12">
                  <c:v>3.1589441468662332E-5</c:v>
                </c:pt>
                <c:pt idx="13">
                  <c:v>3.1938943626621975E-5</c:v>
                </c:pt>
                <c:pt idx="14">
                  <c:v>3.2301888116786352E-5</c:v>
                </c:pt>
                <c:pt idx="15">
                  <c:v>3.2679004352434893E-5</c:v>
                </c:pt>
                <c:pt idx="16">
                  <c:v>3.3071074701782733E-5</c:v>
                </c:pt>
                <c:pt idx="17">
                  <c:v>3.347893943229625E-5</c:v>
                </c:pt>
                <c:pt idx="18">
                  <c:v>3.3903502218109246E-5</c:v>
                </c:pt>
                <c:pt idx="19">
                  <c:v>3.4345736286823988E-5</c:v>
                </c:pt>
                <c:pt idx="20">
                  <c:v>3.4806691294025067E-5</c:v>
                </c:pt>
                <c:pt idx="21">
                  <c:v>3.5287501028060751E-5</c:v>
                </c:pt>
                <c:pt idx="22">
                  <c:v>3.5789392064505243E-5</c:v>
                </c:pt>
                <c:pt idx="23">
                  <c:v>3.631369350975438E-5</c:v>
                </c:pt>
                <c:pt idx="24">
                  <c:v>3.6861847997113486E-5</c:v>
                </c:pt>
                <c:pt idx="25">
                  <c:v>3.7435424127351712E-5</c:v>
                </c:pt>
                <c:pt idx="26">
                  <c:v>3.8036130580078671E-5</c:v>
                </c:pt>
                <c:pt idx="27">
                  <c:v>3.866583216376705E-5</c:v>
                </c:pt>
                <c:pt idx="28">
                  <c:v>3.9326568122458477E-5</c:v>
                </c:pt>
                <c:pt idx="29">
                  <c:v>4.002057307824927E-5</c:v>
                </c:pt>
                <c:pt idx="30">
                  <c:v>4.0750301063224251E-5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2-4658-A9D1-3F1DEABB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99352"/>
        <c:axId val="520397384"/>
      </c:scatterChart>
      <c:valAx>
        <c:axId val="52039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20397384"/>
        <c:crosses val="autoZero"/>
        <c:crossBetween val="midCat"/>
      </c:valAx>
      <c:valAx>
        <c:axId val="5203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2039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2874015748032E-2"/>
                  <c:y val="0.25550196850393703"/>
                </c:manualLayout>
              </c:layout>
              <c:numFmt formatCode="#,##0.000000000000000_);[Red]\(#,##0.00000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寿命损耗率函数2!$A$2:$A$7</c:f>
              <c:numCache>
                <c:formatCode>General</c:formatCode>
                <c:ptCount val="6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</c:v>
                </c:pt>
                <c:pt idx="4">
                  <c:v>0.25</c:v>
                </c:pt>
                <c:pt idx="5">
                  <c:v>0.2</c:v>
                </c:pt>
              </c:numCache>
            </c:numRef>
          </c:xVal>
          <c:yVal>
            <c:numRef>
              <c:f>寿命损耗率函数2!$C$2:$C$7</c:f>
              <c:numCache>
                <c:formatCode>0.000000%</c:formatCode>
                <c:ptCount val="6"/>
                <c:pt idx="0">
                  <c:v>1.3003901170351106E-5</c:v>
                </c:pt>
                <c:pt idx="1">
                  <c:v>1.5999999999999999E-5</c:v>
                </c:pt>
                <c:pt idx="2">
                  <c:v>1.7006802721088435E-5</c:v>
                </c:pt>
                <c:pt idx="3">
                  <c:v>1.9011406844106464E-5</c:v>
                </c:pt>
                <c:pt idx="4">
                  <c:v>2.2026431718061676E-5</c:v>
                </c:pt>
                <c:pt idx="5">
                  <c:v>2.4038461538461538E-5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5-4206-9331-2DF072370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58864"/>
        <c:axId val="589054600"/>
      </c:scatterChart>
      <c:valAx>
        <c:axId val="58905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054600"/>
        <c:crosses val="autoZero"/>
        <c:crossBetween val="midCat"/>
      </c:valAx>
      <c:valAx>
        <c:axId val="58905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05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99803149606297"/>
                  <c:y val="2.2850685331000292E-2"/>
                </c:manualLayout>
              </c:layout>
              <c:numFmt formatCode="#,##0.0000000000_);[Red]\(#,##0.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寿命损耗率函数2!$A$10:$A$16</c:f>
              <c:numCache>
                <c:formatCode>General</c:formatCode>
                <c:ptCount val="7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  <c:pt idx="3">
                  <c:v>0.35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</c:numCache>
            </c:numRef>
          </c:xVal>
          <c:yVal>
            <c:numRef>
              <c:f>寿命损耗率函数2!$B$10:$B$16</c:f>
              <c:numCache>
                <c:formatCode>0.0000%</c:formatCode>
                <c:ptCount val="7"/>
                <c:pt idx="0">
                  <c:v>1.0000000000000001E-5</c:v>
                </c:pt>
                <c:pt idx="1">
                  <c:v>1.2999999999999999E-5</c:v>
                </c:pt>
                <c:pt idx="2">
                  <c:v>1.5999999999999999E-5</c:v>
                </c:pt>
                <c:pt idx="3">
                  <c:v>1.7E-5</c:v>
                </c:pt>
                <c:pt idx="4">
                  <c:v>1.9000000000000001E-5</c:v>
                </c:pt>
                <c:pt idx="5">
                  <c:v>2.1999999999999999E-5</c:v>
                </c:pt>
                <c:pt idx="6">
                  <c:v>2.4000000000000001E-5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E9C-814A-538687819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53576"/>
        <c:axId val="588949640"/>
      </c:scatterChart>
      <c:valAx>
        <c:axId val="58895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949640"/>
        <c:crosses val="autoZero"/>
        <c:crossBetween val="midCat"/>
      </c:valAx>
      <c:valAx>
        <c:axId val="58894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95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010225458518657"/>
                  <c:y val="-0.402377615211223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碳排放强度函数!$A$3:$A$9</c:f>
              <c:numCache>
                <c:formatCode>General</c:formatCode>
                <c:ptCount val="7"/>
                <c:pt idx="0">
                  <c:v>105</c:v>
                </c:pt>
                <c:pt idx="1">
                  <c:v>135</c:v>
                </c:pt>
                <c:pt idx="2">
                  <c:v>165</c:v>
                </c:pt>
                <c:pt idx="3">
                  <c:v>195</c:v>
                </c:pt>
                <c:pt idx="4">
                  <c:v>225</c:v>
                </c:pt>
                <c:pt idx="5">
                  <c:v>255</c:v>
                </c:pt>
                <c:pt idx="6">
                  <c:v>300</c:v>
                </c:pt>
              </c:numCache>
            </c:numRef>
          </c:xVal>
          <c:yVal>
            <c:numRef>
              <c:f>碳排放强度函数!$B$3:$B$9</c:f>
              <c:numCache>
                <c:formatCode>General</c:formatCode>
                <c:ptCount val="7"/>
                <c:pt idx="0">
                  <c:v>0.85570000000000002</c:v>
                </c:pt>
                <c:pt idx="1">
                  <c:v>0.82130000000000003</c:v>
                </c:pt>
                <c:pt idx="2">
                  <c:v>0.79449999999999998</c:v>
                </c:pt>
                <c:pt idx="3">
                  <c:v>0.77539999999999998</c:v>
                </c:pt>
                <c:pt idx="4">
                  <c:v>0.7641</c:v>
                </c:pt>
                <c:pt idx="5">
                  <c:v>0.76039999999999996</c:v>
                </c:pt>
                <c:pt idx="6">
                  <c:v>0.76919999999999999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7-4919-837B-69354126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45488"/>
        <c:axId val="881643192"/>
      </c:scatterChart>
      <c:valAx>
        <c:axId val="8816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1643192"/>
        <c:crosses val="autoZero"/>
        <c:crossBetween val="midCat"/>
      </c:valAx>
      <c:valAx>
        <c:axId val="8816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164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502092214133899"/>
                  <c:y val="-0.510780073086932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碳排放强度函数!$D$3:$D$9</c:f>
              <c:numCache>
                <c:formatCode>General</c:formatCode>
                <c:ptCount val="7"/>
                <c:pt idx="0">
                  <c:v>70</c:v>
                </c:pt>
                <c:pt idx="1">
                  <c:v>90</c:v>
                </c:pt>
                <c:pt idx="2">
                  <c:v>110.00000000000001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</c:numCache>
            </c:numRef>
          </c:xVal>
          <c:yVal>
            <c:numRef>
              <c:f>碳排放强度函数!$E$3:$E$9</c:f>
              <c:numCache>
                <c:formatCode>General</c:formatCode>
                <c:ptCount val="7"/>
                <c:pt idx="0">
                  <c:v>0.92510000000000003</c:v>
                </c:pt>
                <c:pt idx="1">
                  <c:v>0.8881</c:v>
                </c:pt>
                <c:pt idx="2">
                  <c:v>0.8569</c:v>
                </c:pt>
                <c:pt idx="3">
                  <c:v>0.83130000000000004</c:v>
                </c:pt>
                <c:pt idx="4">
                  <c:v>0.81159999999999999</c:v>
                </c:pt>
                <c:pt idx="5">
                  <c:v>0.79749999999999999</c:v>
                </c:pt>
                <c:pt idx="6">
                  <c:v>0.7873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91-448B-A840-92D326B3B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45488"/>
        <c:axId val="881643192"/>
      </c:scatterChart>
      <c:valAx>
        <c:axId val="8816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1643192"/>
        <c:crosses val="autoZero"/>
        <c:crossBetween val="midCat"/>
      </c:valAx>
      <c:valAx>
        <c:axId val="8816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164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59844506863224"/>
                  <c:y val="0.501015952794130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碳排放强度函数!$A$3:$A$9</c:f>
              <c:numCache>
                <c:formatCode>General</c:formatCode>
                <c:ptCount val="7"/>
                <c:pt idx="0">
                  <c:v>105</c:v>
                </c:pt>
                <c:pt idx="1">
                  <c:v>135</c:v>
                </c:pt>
                <c:pt idx="2">
                  <c:v>165</c:v>
                </c:pt>
                <c:pt idx="3">
                  <c:v>195</c:v>
                </c:pt>
                <c:pt idx="4">
                  <c:v>225</c:v>
                </c:pt>
                <c:pt idx="5">
                  <c:v>255</c:v>
                </c:pt>
                <c:pt idx="6">
                  <c:v>300</c:v>
                </c:pt>
              </c:numCache>
            </c:numRef>
          </c:xVal>
          <c:yVal>
            <c:numRef>
              <c:f>碳排放强度函数!$C$3:$C$9</c:f>
              <c:numCache>
                <c:formatCode>General</c:formatCode>
                <c:ptCount val="7"/>
                <c:pt idx="0">
                  <c:v>89.848500000000001</c:v>
                </c:pt>
                <c:pt idx="1">
                  <c:v>110.8755</c:v>
                </c:pt>
                <c:pt idx="2">
                  <c:v>131.0925</c:v>
                </c:pt>
                <c:pt idx="3">
                  <c:v>151.203</c:v>
                </c:pt>
                <c:pt idx="4">
                  <c:v>171.92250000000001</c:v>
                </c:pt>
                <c:pt idx="5">
                  <c:v>193.90199999999999</c:v>
                </c:pt>
                <c:pt idx="6">
                  <c:v>230.76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53-486F-85D1-775876F61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45488"/>
        <c:axId val="881643192"/>
      </c:scatterChart>
      <c:valAx>
        <c:axId val="8816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1643192"/>
        <c:crosses val="autoZero"/>
        <c:crossBetween val="midCat"/>
      </c:valAx>
      <c:valAx>
        <c:axId val="8816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164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71316043500642"/>
                  <c:y val="0.483739540628816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碳排放强度函数!$D$3:$D$9</c:f>
              <c:numCache>
                <c:formatCode>General</c:formatCode>
                <c:ptCount val="7"/>
                <c:pt idx="0">
                  <c:v>70</c:v>
                </c:pt>
                <c:pt idx="1">
                  <c:v>90</c:v>
                </c:pt>
                <c:pt idx="2">
                  <c:v>110.00000000000001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</c:numCache>
            </c:numRef>
          </c:xVal>
          <c:yVal>
            <c:numRef>
              <c:f>碳排放强度函数!$F$3:$F$9</c:f>
              <c:numCache>
                <c:formatCode>General</c:formatCode>
                <c:ptCount val="7"/>
                <c:pt idx="0">
                  <c:v>64.757000000000005</c:v>
                </c:pt>
                <c:pt idx="1">
                  <c:v>79.929000000000002</c:v>
                </c:pt>
                <c:pt idx="2">
                  <c:v>94.259000000000015</c:v>
                </c:pt>
                <c:pt idx="3">
                  <c:v>108.069</c:v>
                </c:pt>
                <c:pt idx="4">
                  <c:v>121.74</c:v>
                </c:pt>
                <c:pt idx="5">
                  <c:v>135.57499999999999</c:v>
                </c:pt>
                <c:pt idx="6">
                  <c:v>157.46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39-45C8-87D6-26F59D110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45488"/>
        <c:axId val="881643192"/>
      </c:scatterChart>
      <c:valAx>
        <c:axId val="8816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1643192"/>
        <c:crosses val="autoZero"/>
        <c:crossBetween val="midCat"/>
      </c:valAx>
      <c:valAx>
        <c:axId val="8816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164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成本曲线!$A$3:$A$143</c:f>
              <c:numCache>
                <c:formatCode>General</c:formatCode>
                <c:ptCount val="141"/>
                <c:pt idx="0">
                  <c:v>200</c:v>
                </c:pt>
                <c:pt idx="1">
                  <c:v>199</c:v>
                </c:pt>
                <c:pt idx="2">
                  <c:v>198</c:v>
                </c:pt>
                <c:pt idx="3">
                  <c:v>197</c:v>
                </c:pt>
                <c:pt idx="4">
                  <c:v>196</c:v>
                </c:pt>
                <c:pt idx="5">
                  <c:v>195</c:v>
                </c:pt>
                <c:pt idx="6">
                  <c:v>194</c:v>
                </c:pt>
                <c:pt idx="7">
                  <c:v>193</c:v>
                </c:pt>
                <c:pt idx="8">
                  <c:v>192</c:v>
                </c:pt>
                <c:pt idx="9">
                  <c:v>191</c:v>
                </c:pt>
                <c:pt idx="10">
                  <c:v>190</c:v>
                </c:pt>
                <c:pt idx="11">
                  <c:v>189</c:v>
                </c:pt>
                <c:pt idx="12">
                  <c:v>188</c:v>
                </c:pt>
                <c:pt idx="13">
                  <c:v>187</c:v>
                </c:pt>
                <c:pt idx="14">
                  <c:v>186</c:v>
                </c:pt>
                <c:pt idx="15">
                  <c:v>185</c:v>
                </c:pt>
                <c:pt idx="16">
                  <c:v>184</c:v>
                </c:pt>
                <c:pt idx="17">
                  <c:v>183</c:v>
                </c:pt>
                <c:pt idx="18">
                  <c:v>182</c:v>
                </c:pt>
                <c:pt idx="19">
                  <c:v>181</c:v>
                </c:pt>
                <c:pt idx="20">
                  <c:v>180</c:v>
                </c:pt>
                <c:pt idx="21">
                  <c:v>179</c:v>
                </c:pt>
                <c:pt idx="22">
                  <c:v>178</c:v>
                </c:pt>
                <c:pt idx="23">
                  <c:v>177</c:v>
                </c:pt>
                <c:pt idx="24">
                  <c:v>176</c:v>
                </c:pt>
                <c:pt idx="25">
                  <c:v>175</c:v>
                </c:pt>
                <c:pt idx="26">
                  <c:v>174</c:v>
                </c:pt>
                <c:pt idx="27">
                  <c:v>173</c:v>
                </c:pt>
                <c:pt idx="28">
                  <c:v>172</c:v>
                </c:pt>
                <c:pt idx="29">
                  <c:v>171</c:v>
                </c:pt>
                <c:pt idx="30">
                  <c:v>170</c:v>
                </c:pt>
                <c:pt idx="31">
                  <c:v>169</c:v>
                </c:pt>
                <c:pt idx="32">
                  <c:v>168</c:v>
                </c:pt>
                <c:pt idx="33">
                  <c:v>167</c:v>
                </c:pt>
                <c:pt idx="34">
                  <c:v>166</c:v>
                </c:pt>
                <c:pt idx="35">
                  <c:v>165</c:v>
                </c:pt>
                <c:pt idx="36">
                  <c:v>164</c:v>
                </c:pt>
                <c:pt idx="37">
                  <c:v>163</c:v>
                </c:pt>
                <c:pt idx="38">
                  <c:v>162</c:v>
                </c:pt>
                <c:pt idx="39">
                  <c:v>161</c:v>
                </c:pt>
                <c:pt idx="40">
                  <c:v>160</c:v>
                </c:pt>
                <c:pt idx="41">
                  <c:v>159</c:v>
                </c:pt>
                <c:pt idx="42">
                  <c:v>158</c:v>
                </c:pt>
                <c:pt idx="43">
                  <c:v>157</c:v>
                </c:pt>
                <c:pt idx="44">
                  <c:v>156</c:v>
                </c:pt>
                <c:pt idx="45">
                  <c:v>155</c:v>
                </c:pt>
                <c:pt idx="46">
                  <c:v>154</c:v>
                </c:pt>
                <c:pt idx="47">
                  <c:v>153</c:v>
                </c:pt>
                <c:pt idx="48">
                  <c:v>152</c:v>
                </c:pt>
                <c:pt idx="49">
                  <c:v>151</c:v>
                </c:pt>
                <c:pt idx="50">
                  <c:v>150</c:v>
                </c:pt>
                <c:pt idx="51">
                  <c:v>149</c:v>
                </c:pt>
                <c:pt idx="52">
                  <c:v>148</c:v>
                </c:pt>
                <c:pt idx="53">
                  <c:v>147</c:v>
                </c:pt>
                <c:pt idx="54">
                  <c:v>146</c:v>
                </c:pt>
                <c:pt idx="55">
                  <c:v>145</c:v>
                </c:pt>
                <c:pt idx="56">
                  <c:v>144</c:v>
                </c:pt>
                <c:pt idx="57">
                  <c:v>143</c:v>
                </c:pt>
                <c:pt idx="58">
                  <c:v>142</c:v>
                </c:pt>
                <c:pt idx="59">
                  <c:v>141</c:v>
                </c:pt>
                <c:pt idx="60">
                  <c:v>140</c:v>
                </c:pt>
                <c:pt idx="61">
                  <c:v>139</c:v>
                </c:pt>
                <c:pt idx="62">
                  <c:v>138</c:v>
                </c:pt>
                <c:pt idx="63">
                  <c:v>137</c:v>
                </c:pt>
                <c:pt idx="64">
                  <c:v>136</c:v>
                </c:pt>
                <c:pt idx="65">
                  <c:v>135</c:v>
                </c:pt>
                <c:pt idx="66">
                  <c:v>134</c:v>
                </c:pt>
                <c:pt idx="67">
                  <c:v>133</c:v>
                </c:pt>
                <c:pt idx="68">
                  <c:v>132</c:v>
                </c:pt>
                <c:pt idx="69">
                  <c:v>131</c:v>
                </c:pt>
                <c:pt idx="70">
                  <c:v>130</c:v>
                </c:pt>
                <c:pt idx="71">
                  <c:v>129</c:v>
                </c:pt>
                <c:pt idx="72">
                  <c:v>128</c:v>
                </c:pt>
                <c:pt idx="73">
                  <c:v>127</c:v>
                </c:pt>
                <c:pt idx="74">
                  <c:v>126</c:v>
                </c:pt>
                <c:pt idx="75">
                  <c:v>125</c:v>
                </c:pt>
                <c:pt idx="76">
                  <c:v>124</c:v>
                </c:pt>
                <c:pt idx="77">
                  <c:v>123</c:v>
                </c:pt>
                <c:pt idx="78">
                  <c:v>122</c:v>
                </c:pt>
                <c:pt idx="79">
                  <c:v>121</c:v>
                </c:pt>
                <c:pt idx="80">
                  <c:v>120</c:v>
                </c:pt>
                <c:pt idx="81">
                  <c:v>119</c:v>
                </c:pt>
                <c:pt idx="82">
                  <c:v>118</c:v>
                </c:pt>
                <c:pt idx="83">
                  <c:v>117</c:v>
                </c:pt>
                <c:pt idx="84">
                  <c:v>116</c:v>
                </c:pt>
                <c:pt idx="85">
                  <c:v>115</c:v>
                </c:pt>
                <c:pt idx="86">
                  <c:v>114</c:v>
                </c:pt>
                <c:pt idx="87">
                  <c:v>113</c:v>
                </c:pt>
                <c:pt idx="88">
                  <c:v>112</c:v>
                </c:pt>
                <c:pt idx="89">
                  <c:v>111</c:v>
                </c:pt>
                <c:pt idx="90">
                  <c:v>110</c:v>
                </c:pt>
                <c:pt idx="91">
                  <c:v>109</c:v>
                </c:pt>
                <c:pt idx="92">
                  <c:v>108</c:v>
                </c:pt>
                <c:pt idx="93">
                  <c:v>107</c:v>
                </c:pt>
                <c:pt idx="94">
                  <c:v>106</c:v>
                </c:pt>
                <c:pt idx="95">
                  <c:v>105</c:v>
                </c:pt>
                <c:pt idx="96">
                  <c:v>104</c:v>
                </c:pt>
                <c:pt idx="97">
                  <c:v>103</c:v>
                </c:pt>
                <c:pt idx="98">
                  <c:v>102</c:v>
                </c:pt>
                <c:pt idx="99">
                  <c:v>101</c:v>
                </c:pt>
                <c:pt idx="100">
                  <c:v>100</c:v>
                </c:pt>
                <c:pt idx="101">
                  <c:v>99</c:v>
                </c:pt>
                <c:pt idx="102">
                  <c:v>98</c:v>
                </c:pt>
                <c:pt idx="103">
                  <c:v>97</c:v>
                </c:pt>
                <c:pt idx="104">
                  <c:v>96</c:v>
                </c:pt>
                <c:pt idx="105">
                  <c:v>95</c:v>
                </c:pt>
                <c:pt idx="106">
                  <c:v>94</c:v>
                </c:pt>
                <c:pt idx="107">
                  <c:v>93</c:v>
                </c:pt>
                <c:pt idx="108">
                  <c:v>92</c:v>
                </c:pt>
                <c:pt idx="109">
                  <c:v>91</c:v>
                </c:pt>
                <c:pt idx="110">
                  <c:v>90</c:v>
                </c:pt>
                <c:pt idx="111">
                  <c:v>89</c:v>
                </c:pt>
                <c:pt idx="112">
                  <c:v>88</c:v>
                </c:pt>
                <c:pt idx="113">
                  <c:v>87</c:v>
                </c:pt>
                <c:pt idx="114">
                  <c:v>86</c:v>
                </c:pt>
                <c:pt idx="115">
                  <c:v>85</c:v>
                </c:pt>
                <c:pt idx="116">
                  <c:v>84</c:v>
                </c:pt>
                <c:pt idx="117">
                  <c:v>83</c:v>
                </c:pt>
                <c:pt idx="118">
                  <c:v>82</c:v>
                </c:pt>
                <c:pt idx="119">
                  <c:v>81</c:v>
                </c:pt>
                <c:pt idx="120">
                  <c:v>80</c:v>
                </c:pt>
                <c:pt idx="121">
                  <c:v>79</c:v>
                </c:pt>
                <c:pt idx="122">
                  <c:v>78</c:v>
                </c:pt>
                <c:pt idx="123">
                  <c:v>77</c:v>
                </c:pt>
                <c:pt idx="124">
                  <c:v>76</c:v>
                </c:pt>
                <c:pt idx="125">
                  <c:v>75</c:v>
                </c:pt>
                <c:pt idx="126">
                  <c:v>74</c:v>
                </c:pt>
                <c:pt idx="127">
                  <c:v>73</c:v>
                </c:pt>
                <c:pt idx="128">
                  <c:v>72</c:v>
                </c:pt>
                <c:pt idx="129">
                  <c:v>71</c:v>
                </c:pt>
                <c:pt idx="130">
                  <c:v>70</c:v>
                </c:pt>
                <c:pt idx="131">
                  <c:v>69</c:v>
                </c:pt>
                <c:pt idx="132">
                  <c:v>68</c:v>
                </c:pt>
                <c:pt idx="133">
                  <c:v>67</c:v>
                </c:pt>
                <c:pt idx="134">
                  <c:v>66</c:v>
                </c:pt>
                <c:pt idx="135">
                  <c:v>65</c:v>
                </c:pt>
                <c:pt idx="136">
                  <c:v>64</c:v>
                </c:pt>
                <c:pt idx="137">
                  <c:v>63</c:v>
                </c:pt>
                <c:pt idx="138">
                  <c:v>62</c:v>
                </c:pt>
                <c:pt idx="139">
                  <c:v>61</c:v>
                </c:pt>
                <c:pt idx="140">
                  <c:v>60</c:v>
                </c:pt>
              </c:numCache>
            </c:numRef>
          </c:xVal>
          <c:yVal>
            <c:numRef>
              <c:f>成本曲线!$F$3:$F$143</c:f>
              <c:numCache>
                <c:formatCode>General</c:formatCode>
                <c:ptCount val="141"/>
                <c:pt idx="0">
                  <c:v>53375.960000000006</c:v>
                </c:pt>
                <c:pt idx="1">
                  <c:v>53126.792010000005</c:v>
                </c:pt>
                <c:pt idx="2">
                  <c:v>52877.636039999998</c:v>
                </c:pt>
                <c:pt idx="3">
                  <c:v>52628.49209</c:v>
                </c:pt>
                <c:pt idx="4">
                  <c:v>52379.360160000004</c:v>
                </c:pt>
                <c:pt idx="5">
                  <c:v>52130.240250000003</c:v>
                </c:pt>
                <c:pt idx="6">
                  <c:v>51881.132360000003</c:v>
                </c:pt>
                <c:pt idx="7">
                  <c:v>51632.036489999999</c:v>
                </c:pt>
                <c:pt idx="8">
                  <c:v>51382.952640000003</c:v>
                </c:pt>
                <c:pt idx="9">
                  <c:v>51133.880810000002</c:v>
                </c:pt>
                <c:pt idx="10">
                  <c:v>50884.821000000004</c:v>
                </c:pt>
                <c:pt idx="11">
                  <c:v>50635.773210000007</c:v>
                </c:pt>
                <c:pt idx="12">
                  <c:v>50386.737439999997</c:v>
                </c:pt>
                <c:pt idx="13">
                  <c:v>50137.713690000004</c:v>
                </c:pt>
                <c:pt idx="14">
                  <c:v>49888.701960000006</c:v>
                </c:pt>
                <c:pt idx="15">
                  <c:v>49639.702250000002</c:v>
                </c:pt>
                <c:pt idx="16">
                  <c:v>49390.71456</c:v>
                </c:pt>
                <c:pt idx="17">
                  <c:v>49141.738890000001</c:v>
                </c:pt>
                <c:pt idx="18">
                  <c:v>48892.775240000003</c:v>
                </c:pt>
                <c:pt idx="19">
                  <c:v>48643.823609999999</c:v>
                </c:pt>
                <c:pt idx="20">
                  <c:v>48394.883999999998</c:v>
                </c:pt>
                <c:pt idx="21">
                  <c:v>48145.956409999999</c:v>
                </c:pt>
                <c:pt idx="22">
                  <c:v>47897.040840000001</c:v>
                </c:pt>
                <c:pt idx="23">
                  <c:v>47648.137289999999</c:v>
                </c:pt>
                <c:pt idx="24">
                  <c:v>47399.245759999998</c:v>
                </c:pt>
                <c:pt idx="25">
                  <c:v>47150.366250000006</c:v>
                </c:pt>
                <c:pt idx="26">
                  <c:v>46901.498760000002</c:v>
                </c:pt>
                <c:pt idx="27">
                  <c:v>46652.64329</c:v>
                </c:pt>
                <c:pt idx="28">
                  <c:v>46403.79984</c:v>
                </c:pt>
                <c:pt idx="29">
                  <c:v>46154.968410000001</c:v>
                </c:pt>
                <c:pt idx="30">
                  <c:v>45906.148999999998</c:v>
                </c:pt>
                <c:pt idx="31">
                  <c:v>45657.341609999996</c:v>
                </c:pt>
                <c:pt idx="32">
                  <c:v>45408.546240000003</c:v>
                </c:pt>
                <c:pt idx="33">
                  <c:v>45159.762890000005</c:v>
                </c:pt>
                <c:pt idx="34">
                  <c:v>44910.991559999995</c:v>
                </c:pt>
                <c:pt idx="35">
                  <c:v>44662.232250000001</c:v>
                </c:pt>
                <c:pt idx="36">
                  <c:v>44413.484960000002</c:v>
                </c:pt>
                <c:pt idx="37">
                  <c:v>44164.749690000004</c:v>
                </c:pt>
                <c:pt idx="38">
                  <c:v>43916.026440000001</c:v>
                </c:pt>
                <c:pt idx="39">
                  <c:v>43667.315210000001</c:v>
                </c:pt>
                <c:pt idx="40">
                  <c:v>43418.616000000002</c:v>
                </c:pt>
                <c:pt idx="41">
                  <c:v>43169.928809999998</c:v>
                </c:pt>
                <c:pt idx="42">
                  <c:v>42921.253639999995</c:v>
                </c:pt>
                <c:pt idx="43">
                  <c:v>42672.590490000002</c:v>
                </c:pt>
                <c:pt idx="44">
                  <c:v>42423.939359999997</c:v>
                </c:pt>
                <c:pt idx="45">
                  <c:v>42175.30025</c:v>
                </c:pt>
                <c:pt idx="46">
                  <c:v>41926.673159999991</c:v>
                </c:pt>
                <c:pt idx="47">
                  <c:v>41678.058089999999</c:v>
                </c:pt>
                <c:pt idx="48">
                  <c:v>41429.455040000001</c:v>
                </c:pt>
                <c:pt idx="49">
                  <c:v>41180.864009999998</c:v>
                </c:pt>
                <c:pt idx="50">
                  <c:v>40932.285000000003</c:v>
                </c:pt>
                <c:pt idx="51">
                  <c:v>40683.718009999997</c:v>
                </c:pt>
                <c:pt idx="52">
                  <c:v>40435.163039999999</c:v>
                </c:pt>
                <c:pt idx="53">
                  <c:v>40186.620090000004</c:v>
                </c:pt>
                <c:pt idx="54">
                  <c:v>39938.089160000003</c:v>
                </c:pt>
                <c:pt idx="55">
                  <c:v>39689.570250000004</c:v>
                </c:pt>
                <c:pt idx="56">
                  <c:v>39441.06336</c:v>
                </c:pt>
                <c:pt idx="57">
                  <c:v>39192.568489999998</c:v>
                </c:pt>
                <c:pt idx="58">
                  <c:v>38944.085640000005</c:v>
                </c:pt>
                <c:pt idx="59">
                  <c:v>38695.614809999999</c:v>
                </c:pt>
                <c:pt idx="60">
                  <c:v>38447.155999999995</c:v>
                </c:pt>
                <c:pt idx="61">
                  <c:v>38198.709210000001</c:v>
                </c:pt>
                <c:pt idx="62">
                  <c:v>37950.274439999994</c:v>
                </c:pt>
                <c:pt idx="63">
                  <c:v>37701.851689999996</c:v>
                </c:pt>
                <c:pt idx="64">
                  <c:v>37453.44096</c:v>
                </c:pt>
                <c:pt idx="65">
                  <c:v>37205.042249999999</c:v>
                </c:pt>
                <c:pt idx="66">
                  <c:v>36956.655559999999</c:v>
                </c:pt>
                <c:pt idx="67">
                  <c:v>36708.280889999995</c:v>
                </c:pt>
                <c:pt idx="68">
                  <c:v>36459.918239999999</c:v>
                </c:pt>
                <c:pt idx="69">
                  <c:v>36211.567609999998</c:v>
                </c:pt>
                <c:pt idx="70">
                  <c:v>35963.228999999999</c:v>
                </c:pt>
                <c:pt idx="71">
                  <c:v>35714.902409999995</c:v>
                </c:pt>
                <c:pt idx="72">
                  <c:v>35466.58784</c:v>
                </c:pt>
                <c:pt idx="73">
                  <c:v>35218.28529</c:v>
                </c:pt>
                <c:pt idx="74">
                  <c:v>34969.994760000001</c:v>
                </c:pt>
                <c:pt idx="75">
                  <c:v>34721.716250000005</c:v>
                </c:pt>
                <c:pt idx="76">
                  <c:v>34473.449759999996</c:v>
                </c:pt>
                <c:pt idx="77">
                  <c:v>34225.195289999996</c:v>
                </c:pt>
                <c:pt idx="78">
                  <c:v>33976.952840000005</c:v>
                </c:pt>
                <c:pt idx="79">
                  <c:v>33728.722410000002</c:v>
                </c:pt>
                <c:pt idx="80">
                  <c:v>38114.260520142401</c:v>
                </c:pt>
                <c:pt idx="81">
                  <c:v>38015.019394525836</c:v>
                </c:pt>
                <c:pt idx="82">
                  <c:v>37915.790288909273</c:v>
                </c:pt>
                <c:pt idx="83">
                  <c:v>37816.573203292712</c:v>
                </c:pt>
                <c:pt idx="84">
                  <c:v>37717.368137676152</c:v>
                </c:pt>
                <c:pt idx="85">
                  <c:v>37618.175092059595</c:v>
                </c:pt>
                <c:pt idx="86">
                  <c:v>37518.994066443032</c:v>
                </c:pt>
                <c:pt idx="87">
                  <c:v>37419.825060826479</c:v>
                </c:pt>
                <c:pt idx="88">
                  <c:v>37320.668075209913</c:v>
                </c:pt>
                <c:pt idx="89">
                  <c:v>37221.523109593356</c:v>
                </c:pt>
                <c:pt idx="90">
                  <c:v>37122.390163976794</c:v>
                </c:pt>
                <c:pt idx="91">
                  <c:v>37023.269238360233</c:v>
                </c:pt>
                <c:pt idx="92">
                  <c:v>36924.160332743682</c:v>
                </c:pt>
                <c:pt idx="93">
                  <c:v>36825.063447127119</c:v>
                </c:pt>
                <c:pt idx="94">
                  <c:v>36725.978581510557</c:v>
                </c:pt>
                <c:pt idx="95">
                  <c:v>36626.905735893997</c:v>
                </c:pt>
                <c:pt idx="96">
                  <c:v>36527.844910277439</c:v>
                </c:pt>
                <c:pt idx="97">
                  <c:v>36428.796104660876</c:v>
                </c:pt>
                <c:pt idx="98">
                  <c:v>36329.759319044315</c:v>
                </c:pt>
                <c:pt idx="99">
                  <c:v>36230.734553427756</c:v>
                </c:pt>
                <c:pt idx="100">
                  <c:v>36131.721807811198</c:v>
                </c:pt>
                <c:pt idx="101">
                  <c:v>36032.721082194628</c:v>
                </c:pt>
                <c:pt idx="102">
                  <c:v>35933.732376578075</c:v>
                </c:pt>
                <c:pt idx="103">
                  <c:v>35834.755690961523</c:v>
                </c:pt>
                <c:pt idx="104">
                  <c:v>35735.791025344952</c:v>
                </c:pt>
                <c:pt idx="105">
                  <c:v>35636.838379728397</c:v>
                </c:pt>
                <c:pt idx="106">
                  <c:v>35537.897754111837</c:v>
                </c:pt>
                <c:pt idx="107">
                  <c:v>35438.969148495278</c:v>
                </c:pt>
                <c:pt idx="108">
                  <c:v>35340.052562878722</c:v>
                </c:pt>
                <c:pt idx="109">
                  <c:v>35241.14799726216</c:v>
                </c:pt>
                <c:pt idx="110">
                  <c:v>46114.955451645597</c:v>
                </c:pt>
                <c:pt idx="111">
                  <c:v>46016.074926029032</c:v>
                </c:pt>
                <c:pt idx="112">
                  <c:v>45917.206420412476</c:v>
                </c:pt>
                <c:pt idx="113">
                  <c:v>45818.349934795915</c:v>
                </c:pt>
                <c:pt idx="114">
                  <c:v>45719.505469179363</c:v>
                </c:pt>
                <c:pt idx="115">
                  <c:v>45620.673023562791</c:v>
                </c:pt>
                <c:pt idx="116">
                  <c:v>45521.852597946243</c:v>
                </c:pt>
                <c:pt idx="117">
                  <c:v>45423.044192329675</c:v>
                </c:pt>
                <c:pt idx="118">
                  <c:v>45324.247806713116</c:v>
                </c:pt>
                <c:pt idx="119">
                  <c:v>45225.463441096552</c:v>
                </c:pt>
                <c:pt idx="120">
                  <c:v>45126.691095479997</c:v>
                </c:pt>
                <c:pt idx="121">
                  <c:v>45027.930769863437</c:v>
                </c:pt>
                <c:pt idx="122">
                  <c:v>44929.182464246871</c:v>
                </c:pt>
                <c:pt idx="123">
                  <c:v>44830.446178630315</c:v>
                </c:pt>
                <c:pt idx="124">
                  <c:v>44731.721913013753</c:v>
                </c:pt>
                <c:pt idx="125">
                  <c:v>44633.0096673972</c:v>
                </c:pt>
                <c:pt idx="126">
                  <c:v>44534.309441780642</c:v>
                </c:pt>
                <c:pt idx="127">
                  <c:v>44435.621236164079</c:v>
                </c:pt>
                <c:pt idx="128">
                  <c:v>44336.945050547511</c:v>
                </c:pt>
                <c:pt idx="129">
                  <c:v>44238.280884930966</c:v>
                </c:pt>
                <c:pt idx="130">
                  <c:v>44139.628739314401</c:v>
                </c:pt>
                <c:pt idx="131">
                  <c:v>44040.988613697831</c:v>
                </c:pt>
                <c:pt idx="132">
                  <c:v>43942.36050808127</c:v>
                </c:pt>
                <c:pt idx="133">
                  <c:v>43843.744422464719</c:v>
                </c:pt>
                <c:pt idx="134">
                  <c:v>43745.140356848162</c:v>
                </c:pt>
                <c:pt idx="135">
                  <c:v>43646.5483112316</c:v>
                </c:pt>
                <c:pt idx="136">
                  <c:v>43547.968285615032</c:v>
                </c:pt>
                <c:pt idx="137">
                  <c:v>43449.400279998474</c:v>
                </c:pt>
                <c:pt idx="138">
                  <c:v>43350.84429438191</c:v>
                </c:pt>
                <c:pt idx="139">
                  <c:v>43252.300328765356</c:v>
                </c:pt>
                <c:pt idx="140">
                  <c:v>43153.768383148796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6-4339-90EA-7C96B0758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68656"/>
        <c:axId val="611868000"/>
      </c:scatterChart>
      <c:valAx>
        <c:axId val="61186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868000"/>
        <c:crosses val="autoZero"/>
        <c:crossBetween val="midCat"/>
      </c:valAx>
      <c:valAx>
        <c:axId val="6118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86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load!$F$2:$F$25</c:f>
              <c:numCache>
                <c:formatCode>0.00_ </c:formatCode>
                <c:ptCount val="24"/>
                <c:pt idx="0">
                  <c:v>1398.9023999999999</c:v>
                </c:pt>
                <c:pt idx="1">
                  <c:v>1247.8535999999999</c:v>
                </c:pt>
                <c:pt idx="2">
                  <c:v>1169.4753000000001</c:v>
                </c:pt>
                <c:pt idx="3">
                  <c:v>1095.34005</c:v>
                </c:pt>
                <c:pt idx="4">
                  <c:v>1066.3569</c:v>
                </c:pt>
                <c:pt idx="5">
                  <c:v>1099.4791500000001</c:v>
                </c:pt>
                <c:pt idx="6">
                  <c:v>1148.6853000000001</c:v>
                </c:pt>
                <c:pt idx="7">
                  <c:v>1323.57645</c:v>
                </c:pt>
                <c:pt idx="8">
                  <c:v>1698.1177500000001</c:v>
                </c:pt>
                <c:pt idx="9">
                  <c:v>1961.3380499999998</c:v>
                </c:pt>
                <c:pt idx="10">
                  <c:v>2041.8048000000001</c:v>
                </c:pt>
                <c:pt idx="11">
                  <c:v>1999.4310000000003</c:v>
                </c:pt>
                <c:pt idx="12">
                  <c:v>1905.7815000000001</c:v>
                </c:pt>
                <c:pt idx="13">
                  <c:v>1844.1958500000001</c:v>
                </c:pt>
                <c:pt idx="14">
                  <c:v>1797.6829499999999</c:v>
                </c:pt>
                <c:pt idx="15">
                  <c:v>1745.9064000000001</c:v>
                </c:pt>
                <c:pt idx="16">
                  <c:v>1786.51305</c:v>
                </c:pt>
                <c:pt idx="17">
                  <c:v>1924.6248000000001</c:v>
                </c:pt>
                <c:pt idx="18">
                  <c:v>2093.8364999999999</c:v>
                </c:pt>
                <c:pt idx="19">
                  <c:v>2245.8114</c:v>
                </c:pt>
                <c:pt idx="20">
                  <c:v>2132.5153500000001</c:v>
                </c:pt>
                <c:pt idx="21">
                  <c:v>1925.6548500000001</c:v>
                </c:pt>
                <c:pt idx="22">
                  <c:v>1730.6068499999999</c:v>
                </c:pt>
                <c:pt idx="23">
                  <c:v>1493.7615000000001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6-43BB-9A2C-BE4342C85938}"/>
            </c:ext>
          </c:extLst>
        </c:ser>
        <c:ser>
          <c:idx val="2"/>
          <c:order val="2"/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load!$G$2:$G$25</c:f>
              <c:numCache>
                <c:formatCode>0.00_ </c:formatCode>
                <c:ptCount val="24"/>
                <c:pt idx="0">
                  <c:v>1265.6736000000001</c:v>
                </c:pt>
                <c:pt idx="1">
                  <c:v>1129.0104000000001</c:v>
                </c:pt>
                <c:pt idx="2">
                  <c:v>1058.0967000000001</c:v>
                </c:pt>
                <c:pt idx="3">
                  <c:v>991.02195000000006</c:v>
                </c:pt>
                <c:pt idx="4">
                  <c:v>964.79910000000007</c:v>
                </c:pt>
                <c:pt idx="5">
                  <c:v>994.76685000000009</c:v>
                </c:pt>
                <c:pt idx="6">
                  <c:v>1039.2867000000001</c:v>
                </c:pt>
                <c:pt idx="7">
                  <c:v>1197.5215499999999</c:v>
                </c:pt>
                <c:pt idx="8">
                  <c:v>1536.3922500000001</c:v>
                </c:pt>
                <c:pt idx="9">
                  <c:v>1774.5439499999998</c:v>
                </c:pt>
                <c:pt idx="10">
                  <c:v>1847.3471999999999</c:v>
                </c:pt>
                <c:pt idx="11">
                  <c:v>1809.0090000000002</c:v>
                </c:pt>
                <c:pt idx="12">
                  <c:v>1724.2784999999999</c:v>
                </c:pt>
                <c:pt idx="13">
                  <c:v>1668.5581499999998</c:v>
                </c:pt>
                <c:pt idx="14">
                  <c:v>1626.47505</c:v>
                </c:pt>
                <c:pt idx="15">
                  <c:v>1579.6296</c:v>
                </c:pt>
                <c:pt idx="16">
                  <c:v>1616.36895</c:v>
                </c:pt>
                <c:pt idx="17">
                  <c:v>1741.3272000000002</c:v>
                </c:pt>
                <c:pt idx="18">
                  <c:v>1894.4234999999999</c:v>
                </c:pt>
                <c:pt idx="19">
                  <c:v>2031.9245999999998</c:v>
                </c:pt>
                <c:pt idx="20">
                  <c:v>1929.4186500000001</c:v>
                </c:pt>
                <c:pt idx="21">
                  <c:v>1742.2591500000001</c:v>
                </c:pt>
                <c:pt idx="22">
                  <c:v>1565.7871499999999</c:v>
                </c:pt>
                <c:pt idx="23">
                  <c:v>1351.4985000000001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6-43BB-9A2C-BE4342C85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39448"/>
        <c:axId val="617236824"/>
      </c:areaChart>
      <c:scatterChart>
        <c:scatterStyle val="lineMarker"/>
        <c:varyColors val="0"/>
        <c:ser>
          <c:idx val="0"/>
          <c:order val="0"/>
          <c:tx>
            <c:strRef>
              <c:f>load!$B$1</c:f>
              <c:strCache>
                <c:ptCount val="1"/>
                <c:pt idx="0">
                  <c:v>负荷预测值/MW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load!$B$2:$B$25</c:f>
              <c:numCache>
                <c:formatCode>0.00</c:formatCode>
                <c:ptCount val="24"/>
                <c:pt idx="0">
                  <c:v>1332.288</c:v>
                </c:pt>
                <c:pt idx="1">
                  <c:v>1188.432</c:v>
                </c:pt>
                <c:pt idx="2">
                  <c:v>1113.7860000000001</c:v>
                </c:pt>
                <c:pt idx="3">
                  <c:v>1043.181</c:v>
                </c:pt>
                <c:pt idx="4">
                  <c:v>1015.5780000000001</c:v>
                </c:pt>
                <c:pt idx="5">
                  <c:v>1047.123</c:v>
                </c:pt>
                <c:pt idx="6">
                  <c:v>1093.9860000000001</c:v>
                </c:pt>
                <c:pt idx="7">
                  <c:v>1260.549</c:v>
                </c:pt>
                <c:pt idx="8">
                  <c:v>1617.2550000000001</c:v>
                </c:pt>
                <c:pt idx="9">
                  <c:v>1867.9409999999998</c:v>
                </c:pt>
                <c:pt idx="10">
                  <c:v>1944.576</c:v>
                </c:pt>
                <c:pt idx="11">
                  <c:v>1904.2200000000003</c:v>
                </c:pt>
                <c:pt idx="12">
                  <c:v>1815.03</c:v>
                </c:pt>
                <c:pt idx="13">
                  <c:v>1756.377</c:v>
                </c:pt>
                <c:pt idx="14">
                  <c:v>1712.079</c:v>
                </c:pt>
                <c:pt idx="15">
                  <c:v>1662.768</c:v>
                </c:pt>
                <c:pt idx="16">
                  <c:v>1701.441</c:v>
                </c:pt>
                <c:pt idx="17">
                  <c:v>1832.9760000000001</c:v>
                </c:pt>
                <c:pt idx="18">
                  <c:v>1994.1299999999999</c:v>
                </c:pt>
                <c:pt idx="19">
                  <c:v>2138.8679999999999</c:v>
                </c:pt>
                <c:pt idx="20">
                  <c:v>2030.9670000000001</c:v>
                </c:pt>
                <c:pt idx="21">
                  <c:v>1833.9570000000001</c:v>
                </c:pt>
                <c:pt idx="22">
                  <c:v>1648.1969999999999</c:v>
                </c:pt>
                <c:pt idx="23">
                  <c:v>1422.63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2-4797-BEAD-14E2217CE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39448"/>
        <c:axId val="617236824"/>
      </c:scatterChart>
      <c:catAx>
        <c:axId val="617239448"/>
        <c:scaling>
          <c:orientation val="minMax"/>
        </c:scaling>
        <c:delete val="0"/>
        <c:axPos val="b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non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17236824"/>
        <c:crosses val="autoZero"/>
        <c:auto val="1"/>
        <c:lblAlgn val="ctr"/>
        <c:lblOffset val="100"/>
        <c:tickMarkSkip val="100"/>
        <c:noMultiLvlLbl val="1"/>
      </c:catAx>
      <c:valAx>
        <c:axId val="617236824"/>
        <c:scaling>
          <c:orientation val="minMax"/>
          <c:max val="2500"/>
          <c:min val="500"/>
        </c:scaling>
        <c:delete val="0"/>
        <c:axPos val="l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non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172394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xVal>
            <c:numRef>
              <c:f>IEQ_dfm!$B$2:$F$2</c:f>
              <c:numCache>
                <c:formatCode>General</c:formatCode>
                <c:ptCount val="5"/>
                <c:pt idx="0">
                  <c:v>0.3</c:v>
                </c:pt>
                <c:pt idx="1">
                  <c:v>0.34149999999999997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IEQ_dfm!$G$2:$K$2</c:f>
              <c:numCache>
                <c:formatCode>General</c:formatCode>
                <c:ptCount val="5"/>
                <c:pt idx="0">
                  <c:v>0</c:v>
                </c:pt>
                <c:pt idx="1">
                  <c:v>5.9459594717278099</c:v>
                </c:pt>
                <c:pt idx="2">
                  <c:v>6.8838645608379396</c:v>
                </c:pt>
                <c:pt idx="3">
                  <c:v>10.730914696162094</c:v>
                </c:pt>
                <c:pt idx="4">
                  <c:v>11.399684669703936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6-4C39-836E-DD041E9B9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66232"/>
        <c:axId val="631768528"/>
      </c:scatterChart>
      <c:valAx>
        <c:axId val="631766232"/>
        <c:scaling>
          <c:orientation val="minMax"/>
          <c:max val="1"/>
          <c:min val="0.30000000000000004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31768528"/>
        <c:crosses val="autoZero"/>
        <c:crossBetween val="midCat"/>
      </c:valAx>
      <c:valAx>
        <c:axId val="63176852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31766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xVal>
            <c:numRef>
              <c:f>IEQ_dfm!$B$11:$F$11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0.93049999999999999</c:v>
                </c:pt>
                <c:pt idx="4">
                  <c:v>1</c:v>
                </c:pt>
              </c:numCache>
            </c:numRef>
          </c:xVal>
          <c:yVal>
            <c:numRef>
              <c:f>IEQ_dfm!$G$11:$K$11</c:f>
              <c:numCache>
                <c:formatCode>General</c:formatCode>
                <c:ptCount val="5"/>
                <c:pt idx="0">
                  <c:v>5.592807792610059</c:v>
                </c:pt>
                <c:pt idx="1">
                  <c:v>6.8750110251979093</c:v>
                </c:pt>
                <c:pt idx="2">
                  <c:v>10.713110379697206</c:v>
                </c:pt>
                <c:pt idx="3">
                  <c:v>11.146843705599327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1-4FFE-8CAD-5A786B822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66232"/>
        <c:axId val="631768528"/>
      </c:scatterChart>
      <c:valAx>
        <c:axId val="631766232"/>
        <c:scaling>
          <c:orientation val="minMax"/>
          <c:max val="1"/>
          <c:min val="0.30000000000000004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31768528"/>
        <c:crosses val="autoZero"/>
        <c:crossBetween val="midCat"/>
      </c:valAx>
      <c:valAx>
        <c:axId val="63176852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31766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xVal>
            <c:numRef>
              <c:f>IEQ_df60!$B$2:$F$2</c:f>
              <c:numCache>
                <c:formatCode>General</c:formatCode>
                <c:ptCount val="5"/>
                <c:pt idx="0">
                  <c:v>0.3</c:v>
                </c:pt>
                <c:pt idx="1">
                  <c:v>0.34149999999999997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IEQ_df60!$G$2:$K$2</c:f>
              <c:numCache>
                <c:formatCode>General</c:formatCode>
                <c:ptCount val="5"/>
                <c:pt idx="0">
                  <c:v>0</c:v>
                </c:pt>
                <c:pt idx="1">
                  <c:v>512.48281509357662</c:v>
                </c:pt>
                <c:pt idx="2">
                  <c:v>500.14104321799516</c:v>
                </c:pt>
                <c:pt idx="3">
                  <c:v>817.49876903242</c:v>
                </c:pt>
                <c:pt idx="4">
                  <c:v>803.59414570402862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F-4E06-8028-C5DCFBB49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66232"/>
        <c:axId val="631768528"/>
      </c:scatterChart>
      <c:valAx>
        <c:axId val="631766232"/>
        <c:scaling>
          <c:orientation val="minMax"/>
          <c:max val="1"/>
          <c:min val="0.30000000000000004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31768528"/>
        <c:crosses val="autoZero"/>
        <c:crossBetween val="midCat"/>
      </c:valAx>
      <c:valAx>
        <c:axId val="63176852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31766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xVal>
            <c:numRef>
              <c:f>IEQ_df60!$B$11:$F$11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0.93049999999999999</c:v>
                </c:pt>
                <c:pt idx="4">
                  <c:v>1</c:v>
                </c:pt>
              </c:numCache>
            </c:numRef>
          </c:xVal>
          <c:yVal>
            <c:numRef>
              <c:f>IEQ_df60!$G$11:$K$11</c:f>
              <c:numCache>
                <c:formatCode>General</c:formatCode>
                <c:ptCount val="5"/>
                <c:pt idx="0">
                  <c:v>509.24017706424149</c:v>
                </c:pt>
                <c:pt idx="1">
                  <c:v>490.16894146976523</c:v>
                </c:pt>
                <c:pt idx="2">
                  <c:v>800.77239528033533</c:v>
                </c:pt>
                <c:pt idx="3">
                  <c:v>792.15845521166068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C-4DFD-ADAE-1B598C9F3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66232"/>
        <c:axId val="631768528"/>
      </c:scatterChart>
      <c:valAx>
        <c:axId val="631766232"/>
        <c:scaling>
          <c:orientation val="minMax"/>
          <c:max val="1"/>
          <c:min val="0.30000000000000004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31768528"/>
        <c:crosses val="autoZero"/>
        <c:crossBetween val="midCat"/>
      </c:valAx>
      <c:valAx>
        <c:axId val="63176852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31766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300MW</a:t>
            </a:r>
            <a:r>
              <a:rPr lang="zh-CN" altLang="en-US"/>
              <a:t>机组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6070918064566923E-2"/>
                  <c:y val="0.276081230718241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寿命损耗率函数!$A$3:$A$93</c:f>
              <c:numCache>
                <c:formatCode>General</c:formatCode>
                <c:ptCount val="91"/>
                <c:pt idx="0">
                  <c:v>180</c:v>
                </c:pt>
                <c:pt idx="1">
                  <c:v>179</c:v>
                </c:pt>
                <c:pt idx="2">
                  <c:v>178</c:v>
                </c:pt>
                <c:pt idx="3">
                  <c:v>177</c:v>
                </c:pt>
                <c:pt idx="4">
                  <c:v>176</c:v>
                </c:pt>
                <c:pt idx="5">
                  <c:v>175</c:v>
                </c:pt>
                <c:pt idx="6">
                  <c:v>174</c:v>
                </c:pt>
                <c:pt idx="7">
                  <c:v>173</c:v>
                </c:pt>
                <c:pt idx="8">
                  <c:v>172</c:v>
                </c:pt>
                <c:pt idx="9">
                  <c:v>171</c:v>
                </c:pt>
                <c:pt idx="10">
                  <c:v>170</c:v>
                </c:pt>
                <c:pt idx="11">
                  <c:v>169</c:v>
                </c:pt>
                <c:pt idx="12">
                  <c:v>168</c:v>
                </c:pt>
                <c:pt idx="13">
                  <c:v>167</c:v>
                </c:pt>
                <c:pt idx="14">
                  <c:v>166</c:v>
                </c:pt>
                <c:pt idx="15">
                  <c:v>165</c:v>
                </c:pt>
                <c:pt idx="16">
                  <c:v>164</c:v>
                </c:pt>
                <c:pt idx="17">
                  <c:v>163</c:v>
                </c:pt>
                <c:pt idx="18">
                  <c:v>162</c:v>
                </c:pt>
                <c:pt idx="19">
                  <c:v>161</c:v>
                </c:pt>
                <c:pt idx="20">
                  <c:v>160</c:v>
                </c:pt>
                <c:pt idx="21">
                  <c:v>159</c:v>
                </c:pt>
                <c:pt idx="22">
                  <c:v>158</c:v>
                </c:pt>
                <c:pt idx="23">
                  <c:v>157</c:v>
                </c:pt>
                <c:pt idx="24">
                  <c:v>156</c:v>
                </c:pt>
                <c:pt idx="25">
                  <c:v>155</c:v>
                </c:pt>
                <c:pt idx="26">
                  <c:v>154</c:v>
                </c:pt>
                <c:pt idx="27">
                  <c:v>153</c:v>
                </c:pt>
                <c:pt idx="28">
                  <c:v>152</c:v>
                </c:pt>
                <c:pt idx="29">
                  <c:v>151</c:v>
                </c:pt>
                <c:pt idx="30">
                  <c:v>150</c:v>
                </c:pt>
                <c:pt idx="31">
                  <c:v>149</c:v>
                </c:pt>
                <c:pt idx="32">
                  <c:v>148</c:v>
                </c:pt>
                <c:pt idx="33">
                  <c:v>147</c:v>
                </c:pt>
                <c:pt idx="34">
                  <c:v>146</c:v>
                </c:pt>
                <c:pt idx="35">
                  <c:v>145</c:v>
                </c:pt>
                <c:pt idx="36">
                  <c:v>144</c:v>
                </c:pt>
                <c:pt idx="37">
                  <c:v>143</c:v>
                </c:pt>
                <c:pt idx="38">
                  <c:v>142</c:v>
                </c:pt>
                <c:pt idx="39">
                  <c:v>141</c:v>
                </c:pt>
                <c:pt idx="40">
                  <c:v>140</c:v>
                </c:pt>
                <c:pt idx="41">
                  <c:v>139</c:v>
                </c:pt>
                <c:pt idx="42">
                  <c:v>138</c:v>
                </c:pt>
                <c:pt idx="43">
                  <c:v>137</c:v>
                </c:pt>
                <c:pt idx="44">
                  <c:v>136</c:v>
                </c:pt>
                <c:pt idx="45">
                  <c:v>135</c:v>
                </c:pt>
                <c:pt idx="46">
                  <c:v>134</c:v>
                </c:pt>
                <c:pt idx="47">
                  <c:v>133</c:v>
                </c:pt>
                <c:pt idx="48">
                  <c:v>132</c:v>
                </c:pt>
                <c:pt idx="49">
                  <c:v>131</c:v>
                </c:pt>
                <c:pt idx="50">
                  <c:v>130</c:v>
                </c:pt>
                <c:pt idx="51">
                  <c:v>129</c:v>
                </c:pt>
                <c:pt idx="52">
                  <c:v>128</c:v>
                </c:pt>
                <c:pt idx="53">
                  <c:v>127</c:v>
                </c:pt>
                <c:pt idx="54">
                  <c:v>126</c:v>
                </c:pt>
                <c:pt idx="55">
                  <c:v>125</c:v>
                </c:pt>
                <c:pt idx="56">
                  <c:v>124</c:v>
                </c:pt>
                <c:pt idx="57">
                  <c:v>123</c:v>
                </c:pt>
                <c:pt idx="58">
                  <c:v>122</c:v>
                </c:pt>
                <c:pt idx="59">
                  <c:v>121</c:v>
                </c:pt>
                <c:pt idx="60">
                  <c:v>120</c:v>
                </c:pt>
                <c:pt idx="61">
                  <c:v>119</c:v>
                </c:pt>
                <c:pt idx="62">
                  <c:v>118</c:v>
                </c:pt>
                <c:pt idx="63">
                  <c:v>117</c:v>
                </c:pt>
                <c:pt idx="64">
                  <c:v>116</c:v>
                </c:pt>
                <c:pt idx="65">
                  <c:v>115</c:v>
                </c:pt>
                <c:pt idx="66">
                  <c:v>114</c:v>
                </c:pt>
                <c:pt idx="67">
                  <c:v>113</c:v>
                </c:pt>
                <c:pt idx="68">
                  <c:v>112</c:v>
                </c:pt>
                <c:pt idx="69">
                  <c:v>111</c:v>
                </c:pt>
                <c:pt idx="70">
                  <c:v>110</c:v>
                </c:pt>
                <c:pt idx="71">
                  <c:v>109</c:v>
                </c:pt>
                <c:pt idx="72">
                  <c:v>108</c:v>
                </c:pt>
                <c:pt idx="73">
                  <c:v>107</c:v>
                </c:pt>
                <c:pt idx="74">
                  <c:v>106</c:v>
                </c:pt>
                <c:pt idx="75">
                  <c:v>105</c:v>
                </c:pt>
                <c:pt idx="76">
                  <c:v>104</c:v>
                </c:pt>
                <c:pt idx="77">
                  <c:v>103</c:v>
                </c:pt>
                <c:pt idx="78">
                  <c:v>102</c:v>
                </c:pt>
                <c:pt idx="79">
                  <c:v>101</c:v>
                </c:pt>
                <c:pt idx="80">
                  <c:v>100</c:v>
                </c:pt>
                <c:pt idx="81">
                  <c:v>99</c:v>
                </c:pt>
                <c:pt idx="82">
                  <c:v>98</c:v>
                </c:pt>
                <c:pt idx="83">
                  <c:v>97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93</c:v>
                </c:pt>
                <c:pt idx="88">
                  <c:v>92</c:v>
                </c:pt>
                <c:pt idx="89">
                  <c:v>91</c:v>
                </c:pt>
                <c:pt idx="90">
                  <c:v>90</c:v>
                </c:pt>
              </c:numCache>
            </c:numRef>
          </c:xVal>
          <c:yVal>
            <c:numRef>
              <c:f>寿命损耗率函数!$C$3:$C$93</c:f>
              <c:numCache>
                <c:formatCode>0.00000000%</c:formatCode>
                <c:ptCount val="91"/>
                <c:pt idx="0">
                  <c:v>1.9490520902102388E-5</c:v>
                </c:pt>
                <c:pt idx="1">
                  <c:v>1.9551850668455378E-5</c:v>
                </c:pt>
                <c:pt idx="2">
                  <c:v>1.9612920148532423E-5</c:v>
                </c:pt>
                <c:pt idx="3">
                  <c:v>1.967374766598103E-5</c:v>
                </c:pt>
                <c:pt idx="4">
                  <c:v>1.9734352153501036E-5</c:v>
                </c:pt>
                <c:pt idx="5">
                  <c:v>1.9794753153242318E-5</c:v>
                </c:pt>
                <c:pt idx="6">
                  <c:v>1.9854970817459337E-5</c:v>
                </c:pt>
                <c:pt idx="7">
                  <c:v>1.991502590945706E-5</c:v>
                </c:pt>
                <c:pt idx="8">
                  <c:v>1.9974939804863711E-5</c:v>
                </c:pt>
                <c:pt idx="9">
                  <c:v>2.0034734493266136E-5</c:v>
                </c:pt>
                <c:pt idx="10">
                  <c:v>2.0094432580244911E-5</c:v>
                </c:pt>
                <c:pt idx="11">
                  <c:v>2.0154057289846346E-5</c:v>
                </c:pt>
                <c:pt idx="12">
                  <c:v>2.0213632467529993E-5</c:v>
                </c:pt>
                <c:pt idx="13">
                  <c:v>2.0273182583630581E-5</c:v>
                </c:pt>
                <c:pt idx="14">
                  <c:v>2.0332732737374402E-5</c:v>
                </c:pt>
                <c:pt idx="15">
                  <c:v>2.0392308661491373E-5</c:v>
                </c:pt>
                <c:pt idx="16">
                  <c:v>2.0451936727464413E-5</c:v>
                </c:pt>
                <c:pt idx="17">
                  <c:v>2.0511643951459397E-5</c:v>
                </c:pt>
                <c:pt idx="18">
                  <c:v>2.0571458000979891E-5</c:v>
                </c:pt>
                <c:pt idx="19">
                  <c:v>2.0631407202291996E-5</c:v>
                </c:pt>
                <c:pt idx="20">
                  <c:v>2.0691520548666288E-5</c:v>
                </c:pt>
                <c:pt idx="21">
                  <c:v>2.0751827709485073E-5</c:v>
                </c:pt>
                <c:pt idx="22">
                  <c:v>2.0812359040264828E-5</c:v>
                </c:pt>
                <c:pt idx="23">
                  <c:v>2.087314559364535E-5</c:v>
                </c:pt>
                <c:pt idx="24">
                  <c:v>2.0934219131399281E-5</c:v>
                </c:pt>
                <c:pt idx="25">
                  <c:v>2.0995612137517184E-5</c:v>
                </c:pt>
                <c:pt idx="26">
                  <c:v>2.1057357832426127E-5</c:v>
                </c:pt>
                <c:pt idx="27">
                  <c:v>2.111949018840156E-5</c:v>
                </c:pt>
                <c:pt idx="28">
                  <c:v>2.1182043946235412E-5</c:v>
                </c:pt>
                <c:pt idx="29">
                  <c:v>2.1245054633225445E-5</c:v>
                </c:pt>
                <c:pt idx="30">
                  <c:v>2.1308558582554682E-5</c:v>
                </c:pt>
                <c:pt idx="31">
                  <c:v>2.1372592954132458E-5</c:v>
                </c:pt>
                <c:pt idx="32">
                  <c:v>2.1437195756972394E-5</c:v>
                </c:pt>
                <c:pt idx="33">
                  <c:v>2.1502405873186675E-5</c:v>
                </c:pt>
                <c:pt idx="34">
                  <c:v>2.1568263083679527E-5</c:v>
                </c:pt>
                <c:pt idx="35">
                  <c:v>2.163480809562836E-5</c:v>
                </c:pt>
                <c:pt idx="36">
                  <c:v>2.1702082571844869E-5</c:v>
                </c:pt>
                <c:pt idx="37">
                  <c:v>2.1770129162114482E-5</c:v>
                </c:pt>
                <c:pt idx="38">
                  <c:v>2.1838991536617846E-5</c:v>
                </c:pt>
                <c:pt idx="39">
                  <c:v>2.1908714421544443E-5</c:v>
                </c:pt>
                <c:pt idx="40">
                  <c:v>2.1979343637015179E-5</c:v>
                </c:pt>
                <c:pt idx="41">
                  <c:v>2.2050926137438001E-5</c:v>
                </c:pt>
                <c:pt idx="42">
                  <c:v>2.2123510054428423E-5</c:v>
                </c:pt>
                <c:pt idx="43">
                  <c:v>2.2197144742435652E-5</c:v>
                </c:pt>
                <c:pt idx="44">
                  <c:v>2.2271880827223802E-5</c:v>
                </c:pt>
                <c:pt idx="45">
                  <c:v>2.2347770257368204E-5</c:v>
                </c:pt>
                <c:pt idx="46">
                  <c:v>2.242486635893717E-5</c:v>
                </c:pt>
                <c:pt idx="47">
                  <c:v>2.2503223893541688E-5</c:v>
                </c:pt>
                <c:pt idx="48">
                  <c:v>2.258289911994796E-5</c:v>
                </c:pt>
                <c:pt idx="49">
                  <c:v>2.2663949859461654E-5</c:v>
                </c:pt>
                <c:pt idx="50">
                  <c:v>2.2746435565307606E-5</c:v>
                </c:pt>
                <c:pt idx="51">
                  <c:v>2.2830417396244873E-5</c:v>
                </c:pt>
                <c:pt idx="52">
                  <c:v>2.2915958294674781E-5</c:v>
                </c:pt>
                <c:pt idx="53">
                  <c:v>2.3003123069518389E-5</c:v>
                </c:pt>
                <c:pt idx="54">
                  <c:v>2.3091978484160992E-5</c:v>
                </c:pt>
                <c:pt idx="55">
                  <c:v>2.3182593349783314E-5</c:v>
                </c:pt>
                <c:pt idx="56">
                  <c:v>2.3275038624423856E-5</c:v>
                </c:pt>
                <c:pt idx="57">
                  <c:v>2.3369387518143503E-5</c:v>
                </c:pt>
                <c:pt idx="58">
                  <c:v>2.3465715604692392E-5</c:v>
                </c:pt>
                <c:pt idx="59">
                  <c:v>2.356410094011064E-5</c:v>
                </c:pt>
                <c:pt idx="60">
                  <c:v>2.3664624188729352E-5</c:v>
                </c:pt>
                <c:pt idx="61">
                  <c:v>2.3767368757075278E-5</c:v>
                </c:pt>
                <c:pt idx="62">
                  <c:v>2.3872420936224385E-5</c:v>
                </c:pt>
                <c:pt idx="63">
                  <c:v>2.3979870053193529E-5</c:v>
                </c:pt>
                <c:pt idx="64">
                  <c:v>2.4089808632009466E-5</c:v>
                </c:pt>
                <c:pt idx="65">
                  <c:v>2.4202332565147258E-5</c:v>
                </c:pt>
                <c:pt idx="66">
                  <c:v>2.4317541296089472E-5</c:v>
                </c:pt>
                <c:pt idx="67">
                  <c:v>2.4435538013821915E-5</c:v>
                </c:pt>
                <c:pt idx="68">
                  <c:v>2.4556429860152258E-5</c:v>
                </c:pt>
                <c:pt idx="69">
                  <c:v>2.4680328150815898E-5</c:v>
                </c:pt>
                <c:pt idx="70">
                  <c:v>2.4807348611418587E-5</c:v>
                </c:pt>
                <c:pt idx="71">
                  <c:v>2.4937611629359358E-5</c:v>
                </c:pt>
                <c:pt idx="72">
                  <c:v>2.5071242522981272E-5</c:v>
                </c:pt>
                <c:pt idx="73">
                  <c:v>2.5208371829311048E-5</c:v>
                </c:pt>
                <c:pt idx="74">
                  <c:v>2.534913561187528E-5</c:v>
                </c:pt>
                <c:pt idx="75">
                  <c:v>2.5493675790220141E-5</c:v>
                </c:pt>
                <c:pt idx="76">
                  <c:v>2.5642140492915224E-5</c:v>
                </c:pt>
                <c:pt idx="77">
                  <c:v>2.5794684435993596E-5</c:v>
                </c:pt>
                <c:pt idx="78">
                  <c:v>2.5951469328968636E-5</c:v>
                </c:pt>
                <c:pt idx="79">
                  <c:v>2.6112664310779231E-5</c:v>
                </c:pt>
                <c:pt idx="80">
                  <c:v>2.6278446418247754E-5</c:v>
                </c:pt>
                <c:pt idx="81">
                  <c:v>2.6449001089895722E-5</c:v>
                </c:pt>
                <c:pt idx="82">
                  <c:v>2.6624522708251799E-5</c:v>
                </c:pt>
                <c:pt idx="83">
                  <c:v>2.6805215184109597E-5</c:v>
                </c:pt>
                <c:pt idx="84">
                  <c:v>2.6991292586554817E-5</c:v>
                </c:pt>
                <c:pt idx="85">
                  <c:v>2.7182979822984706E-5</c:v>
                </c:pt>
                <c:pt idx="86">
                  <c:v>2.7380513373796208E-5</c:v>
                </c:pt>
                <c:pt idx="87">
                  <c:v>2.7584142086927448E-5</c:v>
                </c:pt>
                <c:pt idx="88">
                  <c:v>2.7794128038008041E-5</c:v>
                </c:pt>
                <c:pt idx="89">
                  <c:v>2.8010747462517107E-5</c:v>
                </c:pt>
                <c:pt idx="90">
                  <c:v>2.8234291767072516E-5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1-4C5C-8CE8-00581C4BA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79104"/>
        <c:axId val="613685008"/>
      </c:scatterChart>
      <c:valAx>
        <c:axId val="6136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3685008"/>
        <c:crosses val="autoZero"/>
        <c:crossBetween val="midCat"/>
      </c:valAx>
      <c:valAx>
        <c:axId val="6136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367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200MW</a:t>
            </a:r>
            <a:r>
              <a:rPr lang="zh-CN" altLang="en-US"/>
              <a:t>机组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008114719042724"/>
                  <c:y val="0.2284252575892055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寿命损耗率函数!$D$3:$D$63</c:f>
              <c:numCache>
                <c:formatCode>General</c:formatCode>
                <c:ptCount val="61"/>
                <c:pt idx="0">
                  <c:v>120</c:v>
                </c:pt>
                <c:pt idx="1">
                  <c:v>119</c:v>
                </c:pt>
                <c:pt idx="2">
                  <c:v>118</c:v>
                </c:pt>
                <c:pt idx="3">
                  <c:v>117</c:v>
                </c:pt>
                <c:pt idx="4">
                  <c:v>116</c:v>
                </c:pt>
                <c:pt idx="5">
                  <c:v>115</c:v>
                </c:pt>
                <c:pt idx="6">
                  <c:v>114</c:v>
                </c:pt>
                <c:pt idx="7">
                  <c:v>113</c:v>
                </c:pt>
                <c:pt idx="8">
                  <c:v>112</c:v>
                </c:pt>
                <c:pt idx="9">
                  <c:v>111</c:v>
                </c:pt>
                <c:pt idx="10">
                  <c:v>110</c:v>
                </c:pt>
                <c:pt idx="11">
                  <c:v>109</c:v>
                </c:pt>
                <c:pt idx="12">
                  <c:v>108</c:v>
                </c:pt>
                <c:pt idx="13">
                  <c:v>107</c:v>
                </c:pt>
                <c:pt idx="14">
                  <c:v>106</c:v>
                </c:pt>
                <c:pt idx="15">
                  <c:v>105</c:v>
                </c:pt>
                <c:pt idx="16">
                  <c:v>104</c:v>
                </c:pt>
                <c:pt idx="17">
                  <c:v>103</c:v>
                </c:pt>
                <c:pt idx="18">
                  <c:v>102</c:v>
                </c:pt>
                <c:pt idx="19">
                  <c:v>101</c:v>
                </c:pt>
                <c:pt idx="20">
                  <c:v>100</c:v>
                </c:pt>
                <c:pt idx="21">
                  <c:v>99</c:v>
                </c:pt>
                <c:pt idx="22">
                  <c:v>98</c:v>
                </c:pt>
                <c:pt idx="23">
                  <c:v>97</c:v>
                </c:pt>
                <c:pt idx="24">
                  <c:v>96</c:v>
                </c:pt>
                <c:pt idx="25">
                  <c:v>95</c:v>
                </c:pt>
                <c:pt idx="26">
                  <c:v>94</c:v>
                </c:pt>
                <c:pt idx="27">
                  <c:v>93</c:v>
                </c:pt>
                <c:pt idx="28">
                  <c:v>92</c:v>
                </c:pt>
                <c:pt idx="29">
                  <c:v>91</c:v>
                </c:pt>
                <c:pt idx="30">
                  <c:v>90</c:v>
                </c:pt>
                <c:pt idx="31">
                  <c:v>89</c:v>
                </c:pt>
                <c:pt idx="32">
                  <c:v>88</c:v>
                </c:pt>
                <c:pt idx="33">
                  <c:v>87</c:v>
                </c:pt>
                <c:pt idx="34">
                  <c:v>86</c:v>
                </c:pt>
                <c:pt idx="35">
                  <c:v>85</c:v>
                </c:pt>
                <c:pt idx="36">
                  <c:v>84</c:v>
                </c:pt>
                <c:pt idx="37">
                  <c:v>83</c:v>
                </c:pt>
                <c:pt idx="38">
                  <c:v>82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78</c:v>
                </c:pt>
                <c:pt idx="43">
                  <c:v>77</c:v>
                </c:pt>
                <c:pt idx="44">
                  <c:v>76</c:v>
                </c:pt>
                <c:pt idx="45">
                  <c:v>75</c:v>
                </c:pt>
                <c:pt idx="46">
                  <c:v>74</c:v>
                </c:pt>
                <c:pt idx="47">
                  <c:v>73</c:v>
                </c:pt>
                <c:pt idx="48">
                  <c:v>72</c:v>
                </c:pt>
                <c:pt idx="49">
                  <c:v>71</c:v>
                </c:pt>
                <c:pt idx="50">
                  <c:v>70</c:v>
                </c:pt>
                <c:pt idx="51">
                  <c:v>69</c:v>
                </c:pt>
                <c:pt idx="52">
                  <c:v>68</c:v>
                </c:pt>
                <c:pt idx="53">
                  <c:v>67</c:v>
                </c:pt>
                <c:pt idx="54">
                  <c:v>66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</c:numCache>
            </c:numRef>
          </c:xVal>
          <c:yVal>
            <c:numRef>
              <c:f>寿命损耗率函数!$F$3:$F$63</c:f>
              <c:numCache>
                <c:formatCode>0.00000000%</c:formatCode>
                <c:ptCount val="61"/>
                <c:pt idx="0">
                  <c:v>2.3664624188729352E-5</c:v>
                </c:pt>
                <c:pt idx="1">
                  <c:v>2.3767368757075278E-5</c:v>
                </c:pt>
                <c:pt idx="2">
                  <c:v>2.3872420936224385E-5</c:v>
                </c:pt>
                <c:pt idx="3">
                  <c:v>2.3979870053193529E-5</c:v>
                </c:pt>
                <c:pt idx="4">
                  <c:v>2.4089808632009466E-5</c:v>
                </c:pt>
                <c:pt idx="5">
                  <c:v>2.4202332565147258E-5</c:v>
                </c:pt>
                <c:pt idx="6">
                  <c:v>2.4317541296089472E-5</c:v>
                </c:pt>
                <c:pt idx="7">
                  <c:v>2.4435538013821915E-5</c:v>
                </c:pt>
                <c:pt idx="8">
                  <c:v>2.4556429860152258E-5</c:v>
                </c:pt>
                <c:pt idx="9">
                  <c:v>2.4680328150815898E-5</c:v>
                </c:pt>
                <c:pt idx="10">
                  <c:v>2.4807348611418587E-5</c:v>
                </c:pt>
                <c:pt idx="11">
                  <c:v>2.4937611629359358E-5</c:v>
                </c:pt>
                <c:pt idx="12">
                  <c:v>2.5071242522981272E-5</c:v>
                </c:pt>
                <c:pt idx="13">
                  <c:v>2.5208371829311048E-5</c:v>
                </c:pt>
                <c:pt idx="14">
                  <c:v>2.534913561187528E-5</c:v>
                </c:pt>
                <c:pt idx="15">
                  <c:v>2.5493675790220141E-5</c:v>
                </c:pt>
                <c:pt idx="16">
                  <c:v>2.5642140492915224E-5</c:v>
                </c:pt>
                <c:pt idx="17">
                  <c:v>2.5794684435993596E-5</c:v>
                </c:pt>
                <c:pt idx="18">
                  <c:v>2.5951469328968636E-5</c:v>
                </c:pt>
                <c:pt idx="19">
                  <c:v>2.6112664310779231E-5</c:v>
                </c:pt>
                <c:pt idx="20">
                  <c:v>2.6278446418247754E-5</c:v>
                </c:pt>
                <c:pt idx="21">
                  <c:v>2.6449001089895722E-5</c:v>
                </c:pt>
                <c:pt idx="22">
                  <c:v>2.6624522708251799E-5</c:v>
                </c:pt>
                <c:pt idx="23">
                  <c:v>2.6805215184109597E-5</c:v>
                </c:pt>
                <c:pt idx="24">
                  <c:v>2.6991292586554817E-5</c:v>
                </c:pt>
                <c:pt idx="25">
                  <c:v>2.7182979822984706E-5</c:v>
                </c:pt>
                <c:pt idx="26">
                  <c:v>2.7380513373796208E-5</c:v>
                </c:pt>
                <c:pt idx="27">
                  <c:v>2.7584142086927448E-5</c:v>
                </c:pt>
                <c:pt idx="28">
                  <c:v>2.7794128038008041E-5</c:v>
                </c:pt>
                <c:pt idx="29">
                  <c:v>2.8010747462517107E-5</c:v>
                </c:pt>
                <c:pt idx="30">
                  <c:v>2.8234291767072516E-5</c:v>
                </c:pt>
                <c:pt idx="31">
                  <c:v>2.8465068627792867E-5</c:v>
                </c:pt>
                <c:pt idx="32">
                  <c:v>2.8703403184600424E-5</c:v>
                </c:pt>
                <c:pt idx="33">
                  <c:v>2.8949639341380666E-5</c:v>
                </c:pt>
                <c:pt idx="34">
                  <c:v>2.9204141183105808E-5</c:v>
                </c:pt>
                <c:pt idx="35">
                  <c:v>2.9467294522382087E-5</c:v>
                </c:pt>
                <c:pt idx="36">
                  <c:v>2.973950858942291E-5</c:v>
                </c:pt>
                <c:pt idx="37">
                  <c:v>3.0021217881209974E-5</c:v>
                </c:pt>
                <c:pt idx="38">
                  <c:v>3.0312884187616096E-5</c:v>
                </c:pt>
                <c:pt idx="39">
                  <c:v>3.0614998814570706E-5</c:v>
                </c:pt>
                <c:pt idx="40">
                  <c:v>3.0928085026996504E-5</c:v>
                </c:pt>
                <c:pt idx="41">
                  <c:v>3.1252700737293493E-5</c:v>
                </c:pt>
                <c:pt idx="42">
                  <c:v>3.1589441468662332E-5</c:v>
                </c:pt>
                <c:pt idx="43">
                  <c:v>3.1938943626621975E-5</c:v>
                </c:pt>
                <c:pt idx="44">
                  <c:v>3.2301888116786352E-5</c:v>
                </c:pt>
                <c:pt idx="45">
                  <c:v>3.2679004352434893E-5</c:v>
                </c:pt>
                <c:pt idx="46">
                  <c:v>3.3071074701782733E-5</c:v>
                </c:pt>
                <c:pt idx="47">
                  <c:v>3.347893943229625E-5</c:v>
                </c:pt>
                <c:pt idx="48">
                  <c:v>3.3903502218109246E-5</c:v>
                </c:pt>
                <c:pt idx="49">
                  <c:v>3.4345736286823988E-5</c:v>
                </c:pt>
                <c:pt idx="50">
                  <c:v>3.4806691294025067E-5</c:v>
                </c:pt>
                <c:pt idx="51">
                  <c:v>3.5287501028060751E-5</c:v>
                </c:pt>
                <c:pt idx="52">
                  <c:v>3.5789392064505243E-5</c:v>
                </c:pt>
                <c:pt idx="53">
                  <c:v>3.631369350975438E-5</c:v>
                </c:pt>
                <c:pt idx="54">
                  <c:v>3.6861847997113486E-5</c:v>
                </c:pt>
                <c:pt idx="55">
                  <c:v>3.7435424127351712E-5</c:v>
                </c:pt>
                <c:pt idx="56">
                  <c:v>3.8036130580078671E-5</c:v>
                </c:pt>
                <c:pt idx="57">
                  <c:v>3.866583216376705E-5</c:v>
                </c:pt>
                <c:pt idx="58">
                  <c:v>3.9326568122458477E-5</c:v>
                </c:pt>
                <c:pt idx="59">
                  <c:v>4.002057307824927E-5</c:v>
                </c:pt>
                <c:pt idx="60">
                  <c:v>4.0750301063224251E-5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A-4FB8-ABA6-C8EDEA46D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99352"/>
        <c:axId val="520397384"/>
      </c:scatterChart>
      <c:valAx>
        <c:axId val="52039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20397384"/>
        <c:crosses val="autoZero"/>
        <c:crossBetween val="midCat"/>
      </c:valAx>
      <c:valAx>
        <c:axId val="5203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2039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300MW</a:t>
            </a:r>
            <a:r>
              <a:rPr lang="zh-CN" altLang="en-US"/>
              <a:t>机组</a:t>
            </a:r>
            <a:r>
              <a:rPr lang="en-US" altLang="zh-CN"/>
              <a:t>-DPR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604833838299367E-2"/>
                  <c:y val="-0.1241174465379407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寿命损耗率函数!$A$3:$A$48</c:f>
              <c:numCache>
                <c:formatCode>General</c:formatCode>
                <c:ptCount val="46"/>
                <c:pt idx="0">
                  <c:v>180</c:v>
                </c:pt>
                <c:pt idx="1">
                  <c:v>179</c:v>
                </c:pt>
                <c:pt idx="2">
                  <c:v>178</c:v>
                </c:pt>
                <c:pt idx="3">
                  <c:v>177</c:v>
                </c:pt>
                <c:pt idx="4">
                  <c:v>176</c:v>
                </c:pt>
                <c:pt idx="5">
                  <c:v>175</c:v>
                </c:pt>
                <c:pt idx="6">
                  <c:v>174</c:v>
                </c:pt>
                <c:pt idx="7">
                  <c:v>173</c:v>
                </c:pt>
                <c:pt idx="8">
                  <c:v>172</c:v>
                </c:pt>
                <c:pt idx="9">
                  <c:v>171</c:v>
                </c:pt>
                <c:pt idx="10">
                  <c:v>170</c:v>
                </c:pt>
                <c:pt idx="11">
                  <c:v>169</c:v>
                </c:pt>
                <c:pt idx="12">
                  <c:v>168</c:v>
                </c:pt>
                <c:pt idx="13">
                  <c:v>167</c:v>
                </c:pt>
                <c:pt idx="14">
                  <c:v>166</c:v>
                </c:pt>
                <c:pt idx="15">
                  <c:v>165</c:v>
                </c:pt>
                <c:pt idx="16">
                  <c:v>164</c:v>
                </c:pt>
                <c:pt idx="17">
                  <c:v>163</c:v>
                </c:pt>
                <c:pt idx="18">
                  <c:v>162</c:v>
                </c:pt>
                <c:pt idx="19">
                  <c:v>161</c:v>
                </c:pt>
                <c:pt idx="20">
                  <c:v>160</c:v>
                </c:pt>
                <c:pt idx="21">
                  <c:v>159</c:v>
                </c:pt>
                <c:pt idx="22">
                  <c:v>158</c:v>
                </c:pt>
                <c:pt idx="23">
                  <c:v>157</c:v>
                </c:pt>
                <c:pt idx="24">
                  <c:v>156</c:v>
                </c:pt>
                <c:pt idx="25">
                  <c:v>155</c:v>
                </c:pt>
                <c:pt idx="26">
                  <c:v>154</c:v>
                </c:pt>
                <c:pt idx="27">
                  <c:v>153</c:v>
                </c:pt>
                <c:pt idx="28">
                  <c:v>152</c:v>
                </c:pt>
                <c:pt idx="29">
                  <c:v>151</c:v>
                </c:pt>
                <c:pt idx="30">
                  <c:v>150</c:v>
                </c:pt>
                <c:pt idx="31">
                  <c:v>149</c:v>
                </c:pt>
                <c:pt idx="32">
                  <c:v>148</c:v>
                </c:pt>
                <c:pt idx="33">
                  <c:v>147</c:v>
                </c:pt>
                <c:pt idx="34">
                  <c:v>146</c:v>
                </c:pt>
                <c:pt idx="35">
                  <c:v>145</c:v>
                </c:pt>
                <c:pt idx="36">
                  <c:v>144</c:v>
                </c:pt>
                <c:pt idx="37">
                  <c:v>143</c:v>
                </c:pt>
                <c:pt idx="38">
                  <c:v>142</c:v>
                </c:pt>
                <c:pt idx="39">
                  <c:v>141</c:v>
                </c:pt>
                <c:pt idx="40">
                  <c:v>140</c:v>
                </c:pt>
                <c:pt idx="41">
                  <c:v>139</c:v>
                </c:pt>
                <c:pt idx="42">
                  <c:v>138</c:v>
                </c:pt>
                <c:pt idx="43">
                  <c:v>137</c:v>
                </c:pt>
                <c:pt idx="44">
                  <c:v>136</c:v>
                </c:pt>
                <c:pt idx="45">
                  <c:v>135</c:v>
                </c:pt>
              </c:numCache>
            </c:numRef>
          </c:xVal>
          <c:yVal>
            <c:numRef>
              <c:f>寿命损耗率函数!$C$3:$C$48</c:f>
              <c:numCache>
                <c:formatCode>0.00000000%</c:formatCode>
                <c:ptCount val="46"/>
                <c:pt idx="0">
                  <c:v>1.9490520902102388E-5</c:v>
                </c:pt>
                <c:pt idx="1">
                  <c:v>1.9551850668455378E-5</c:v>
                </c:pt>
                <c:pt idx="2">
                  <c:v>1.9612920148532423E-5</c:v>
                </c:pt>
                <c:pt idx="3">
                  <c:v>1.967374766598103E-5</c:v>
                </c:pt>
                <c:pt idx="4">
                  <c:v>1.9734352153501036E-5</c:v>
                </c:pt>
                <c:pt idx="5">
                  <c:v>1.9794753153242318E-5</c:v>
                </c:pt>
                <c:pt idx="6">
                  <c:v>1.9854970817459337E-5</c:v>
                </c:pt>
                <c:pt idx="7">
                  <c:v>1.991502590945706E-5</c:v>
                </c:pt>
                <c:pt idx="8">
                  <c:v>1.9974939804863711E-5</c:v>
                </c:pt>
                <c:pt idx="9">
                  <c:v>2.0034734493266136E-5</c:v>
                </c:pt>
                <c:pt idx="10">
                  <c:v>2.0094432580244911E-5</c:v>
                </c:pt>
                <c:pt idx="11">
                  <c:v>2.0154057289846346E-5</c:v>
                </c:pt>
                <c:pt idx="12">
                  <c:v>2.0213632467529993E-5</c:v>
                </c:pt>
                <c:pt idx="13">
                  <c:v>2.0273182583630581E-5</c:v>
                </c:pt>
                <c:pt idx="14">
                  <c:v>2.0332732737374402E-5</c:v>
                </c:pt>
                <c:pt idx="15">
                  <c:v>2.0392308661491373E-5</c:v>
                </c:pt>
                <c:pt idx="16">
                  <c:v>2.0451936727464413E-5</c:v>
                </c:pt>
                <c:pt idx="17">
                  <c:v>2.0511643951459397E-5</c:v>
                </c:pt>
                <c:pt idx="18">
                  <c:v>2.0571458000979891E-5</c:v>
                </c:pt>
                <c:pt idx="19">
                  <c:v>2.0631407202291996E-5</c:v>
                </c:pt>
                <c:pt idx="20">
                  <c:v>2.0691520548666288E-5</c:v>
                </c:pt>
                <c:pt idx="21">
                  <c:v>2.0751827709485073E-5</c:v>
                </c:pt>
                <c:pt idx="22">
                  <c:v>2.0812359040264828E-5</c:v>
                </c:pt>
                <c:pt idx="23">
                  <c:v>2.087314559364535E-5</c:v>
                </c:pt>
                <c:pt idx="24">
                  <c:v>2.0934219131399281E-5</c:v>
                </c:pt>
                <c:pt idx="25">
                  <c:v>2.0995612137517184E-5</c:v>
                </c:pt>
                <c:pt idx="26">
                  <c:v>2.1057357832426127E-5</c:v>
                </c:pt>
                <c:pt idx="27">
                  <c:v>2.111949018840156E-5</c:v>
                </c:pt>
                <c:pt idx="28">
                  <c:v>2.1182043946235412E-5</c:v>
                </c:pt>
                <c:pt idx="29">
                  <c:v>2.1245054633225445E-5</c:v>
                </c:pt>
                <c:pt idx="30">
                  <c:v>2.1308558582554682E-5</c:v>
                </c:pt>
                <c:pt idx="31">
                  <c:v>2.1372592954132458E-5</c:v>
                </c:pt>
                <c:pt idx="32">
                  <c:v>2.1437195756972394E-5</c:v>
                </c:pt>
                <c:pt idx="33">
                  <c:v>2.1502405873186675E-5</c:v>
                </c:pt>
                <c:pt idx="34">
                  <c:v>2.1568263083679527E-5</c:v>
                </c:pt>
                <c:pt idx="35">
                  <c:v>2.163480809562836E-5</c:v>
                </c:pt>
                <c:pt idx="36">
                  <c:v>2.1702082571844869E-5</c:v>
                </c:pt>
                <c:pt idx="37">
                  <c:v>2.1770129162114482E-5</c:v>
                </c:pt>
                <c:pt idx="38">
                  <c:v>2.1838991536617846E-5</c:v>
                </c:pt>
                <c:pt idx="39">
                  <c:v>2.1908714421544443E-5</c:v>
                </c:pt>
                <c:pt idx="40">
                  <c:v>2.1979343637015179E-5</c:v>
                </c:pt>
                <c:pt idx="41">
                  <c:v>2.2050926137438001E-5</c:v>
                </c:pt>
                <c:pt idx="42">
                  <c:v>2.2123510054428423E-5</c:v>
                </c:pt>
                <c:pt idx="43">
                  <c:v>2.2197144742435652E-5</c:v>
                </c:pt>
                <c:pt idx="44">
                  <c:v>2.2271880827223802E-5</c:v>
                </c:pt>
                <c:pt idx="45">
                  <c:v>2.2347770257368204E-5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32-435F-8DEA-8DFA46BE1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79104"/>
        <c:axId val="613685008"/>
      </c:scatterChart>
      <c:valAx>
        <c:axId val="6136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3685008"/>
        <c:crosses val="autoZero"/>
        <c:crossBetween val="midCat"/>
      </c:valAx>
      <c:valAx>
        <c:axId val="6136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367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472567</xdr:colOff>
      <xdr:row>4</xdr:row>
      <xdr:rowOff>126784</xdr:rowOff>
    </xdr:from>
    <xdr:to>
      <xdr:col>11</xdr:col>
      <xdr:colOff>3841</xdr:colOff>
      <xdr:row>18</xdr:row>
      <xdr:rowOff>72996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4F36CA-390E-48C5-98FD-0F4B9592B34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518673</xdr:colOff>
      <xdr:row>1</xdr:row>
      <xdr:rowOff>161365</xdr:rowOff>
    </xdr:from>
    <xdr:to>
      <xdr:col>15</xdr:col>
      <xdr:colOff>172892</xdr:colOff>
      <xdr:row>15</xdr:row>
      <xdr:rowOff>107577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153F3C-BBBA-4F6F-93D1-F68B641017C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92208</xdr:rowOff>
    </xdr:from>
    <xdr:to>
      <xdr:col>5</xdr:col>
      <xdr:colOff>427746</xdr:colOff>
      <xdr:row>36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195EA0E-2305-4258-BB09-3F0AD1AB9CC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499463</xdr:colOff>
      <xdr:row>22</xdr:row>
      <xdr:rowOff>76839</xdr:rowOff>
    </xdr:from>
    <xdr:to>
      <xdr:col>12</xdr:col>
      <xdr:colOff>220277</xdr:colOff>
      <xdr:row>35</xdr:row>
      <xdr:rowOff>161364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126EDC4-320F-4674-9DB0-C05F6B5EB59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130628</xdr:rowOff>
    </xdr:from>
    <xdr:to>
      <xdr:col>5</xdr:col>
      <xdr:colOff>427746</xdr:colOff>
      <xdr:row>36</xdr:row>
      <xdr:rowOff>38420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0D8C74E-A5A2-42A8-A848-91DFF51FD66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468726</xdr:colOff>
      <xdr:row>22</xdr:row>
      <xdr:rowOff>138313</xdr:rowOff>
    </xdr:from>
    <xdr:to>
      <xdr:col>12</xdr:col>
      <xdr:colOff>189540</xdr:colOff>
      <xdr:row>36</xdr:row>
      <xdr:rowOff>46105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7DFAE6D-B6E5-41E3-A9F3-C611077C2B5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46105</xdr:colOff>
      <xdr:row>12</xdr:row>
      <xdr:rowOff>92207</xdr:rowOff>
    </xdr:from>
    <xdr:to>
      <xdr:col>19</xdr:col>
      <xdr:colOff>130629</xdr:colOff>
      <xdr:row>23</xdr:row>
      <xdr:rowOff>115260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F08914-C091-49D8-8C59-DD11B1350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399570</xdr:colOff>
      <xdr:row>12</xdr:row>
      <xdr:rowOff>92210</xdr:rowOff>
    </xdr:from>
    <xdr:to>
      <xdr:col>12</xdr:col>
      <xdr:colOff>468727</xdr:colOff>
      <xdr:row>23</xdr:row>
      <xdr:rowOff>115263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811AA-A8BB-4B9F-AC4A-C98C2BC6E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46103</xdr:colOff>
      <xdr:row>24</xdr:row>
      <xdr:rowOff>92208</xdr:rowOff>
    </xdr:from>
    <xdr:to>
      <xdr:col>19</xdr:col>
      <xdr:colOff>130627</xdr:colOff>
      <xdr:row>35</xdr:row>
      <xdr:rowOff>115261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A281136-7AD6-405D-A3D2-8D8427C97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38420</xdr:colOff>
      <xdr:row>36</xdr:row>
      <xdr:rowOff>92208</xdr:rowOff>
    </xdr:from>
    <xdr:to>
      <xdr:col>19</xdr:col>
      <xdr:colOff>122944</xdr:colOff>
      <xdr:row>47</xdr:row>
      <xdr:rowOff>115261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2494EF7-0AE3-4A13-A050-402060DE6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399568</xdr:colOff>
      <xdr:row>24</xdr:row>
      <xdr:rowOff>107576</xdr:rowOff>
    </xdr:from>
    <xdr:to>
      <xdr:col>12</xdr:col>
      <xdr:colOff>468725</xdr:colOff>
      <xdr:row>35</xdr:row>
      <xdr:rowOff>130629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41AA00B-0DDD-4AD2-A00D-9C92A9008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414938</xdr:colOff>
      <xdr:row>36</xdr:row>
      <xdr:rowOff>84526</xdr:rowOff>
    </xdr:from>
    <xdr:to>
      <xdr:col>12</xdr:col>
      <xdr:colOff>484095</xdr:colOff>
      <xdr:row>47</xdr:row>
      <xdr:rowOff>107579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67C398F-F9D4-4543-9875-3611B7C5D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411095</xdr:colOff>
      <xdr:row>16</xdr:row>
      <xdr:rowOff>161362</xdr:rowOff>
    </xdr:from>
    <xdr:to>
      <xdr:col>5</xdr:col>
      <xdr:colOff>172890</xdr:colOff>
      <xdr:row>30</xdr:row>
      <xdr:rowOff>107574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22C017-5BC6-4ACC-9FD8-D0A2611BF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395727</xdr:colOff>
      <xdr:row>16</xdr:row>
      <xdr:rowOff>176733</xdr:rowOff>
    </xdr:from>
    <xdr:to>
      <xdr:col>13</xdr:col>
      <xdr:colOff>49945</xdr:colOff>
      <xdr:row>30</xdr:row>
      <xdr:rowOff>122945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A3B37D6-1B92-4552-8A4F-1C906CA44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9</xdr:row>
      <xdr:rowOff>76839</xdr:rowOff>
    </xdr:from>
    <xdr:to>
      <xdr:col>3</xdr:col>
      <xdr:colOff>317609</xdr:colOff>
      <xdr:row>20</xdr:row>
      <xdr:rowOff>84525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9EF34B-C319-4BFA-B0B2-74A5D0D94C8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491779</xdr:colOff>
      <xdr:row>9</xdr:row>
      <xdr:rowOff>92208</xdr:rowOff>
    </xdr:from>
    <xdr:to>
      <xdr:col>7</xdr:col>
      <xdr:colOff>194666</xdr:colOff>
      <xdr:row>20</xdr:row>
      <xdr:rowOff>99894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001606-20F3-4744-A187-61DA6C3FAB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20</xdr:row>
      <xdr:rowOff>192102</xdr:rowOff>
    </xdr:from>
    <xdr:to>
      <xdr:col>3</xdr:col>
      <xdr:colOff>317609</xdr:colOff>
      <xdr:row>32</xdr:row>
      <xdr:rowOff>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50C7A6D-68C3-4640-81E0-FD4BD732D45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453358</xdr:colOff>
      <xdr:row>21</xdr:row>
      <xdr:rowOff>7685</xdr:rowOff>
    </xdr:from>
    <xdr:to>
      <xdr:col>7</xdr:col>
      <xdr:colOff>156245</xdr:colOff>
      <xdr:row>32</xdr:row>
      <xdr:rowOff>15370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7FA9C8E-E07F-461D-96C9-88764A716DF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534040</xdr:colOff>
      <xdr:row>3</xdr:row>
      <xdr:rowOff>46104</xdr:rowOff>
    </xdr:from>
    <xdr:to>
      <xdr:col>14</xdr:col>
      <xdr:colOff>188256</xdr:colOff>
      <xdr:row>16</xdr:row>
      <xdr:rowOff>192101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0C0FA6-FB79-44B8-AA86-CCB2F810E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"/>
  <sheetViews>
    <sheetView workbookViewId="0">
      <selection activeCell="N20" sqref="N20"/>
    </sheetView>
  </sheetViews>
  <sheetFormatPr defaultColWidth="8.875" defaultRowHeight="15.75" x14ac:dyDescent="0.25"/>
  <cols>
    <col min="1" max="1" width="27" style="34" customWidth="1"/>
    <col min="2" max="2" width="9.375" style="34" customWidth="1"/>
    <col min="3" max="3" width="8.875" style="34"/>
    <col min="4" max="4" width="19.875" style="34" customWidth="1"/>
    <col min="5" max="5" width="35.5" style="34" bestFit="1" customWidth="1"/>
    <col min="6" max="6" width="10.625" style="14" bestFit="1" customWidth="1"/>
    <col min="7" max="9" width="10.5" style="34" bestFit="1" customWidth="1"/>
    <col min="10" max="10" width="10.75" style="34" bestFit="1" customWidth="1"/>
    <col min="11" max="12" width="10.625" style="34" bestFit="1" customWidth="1"/>
    <col min="13" max="13" width="10.625" style="3" bestFit="1" customWidth="1"/>
    <col min="14" max="14" width="10.5" style="34" customWidth="1"/>
    <col min="15" max="15" width="34.875" style="34" bestFit="1" customWidth="1"/>
    <col min="16" max="17" width="9.125" style="34" bestFit="1" customWidth="1"/>
    <col min="18" max="16384" width="8.875" style="34"/>
  </cols>
  <sheetData>
    <row r="1" spans="1:17" x14ac:dyDescent="0.2">
      <c r="A1" s="67" t="s">
        <v>158</v>
      </c>
      <c r="B1" s="67"/>
      <c r="D1" s="68" t="s">
        <v>116</v>
      </c>
      <c r="E1" s="67"/>
      <c r="F1" s="67"/>
      <c r="G1" s="67"/>
      <c r="H1" s="67"/>
      <c r="I1" s="67"/>
      <c r="J1" s="67"/>
      <c r="K1" s="67"/>
      <c r="L1" s="67"/>
      <c r="M1" s="67"/>
      <c r="O1" s="67" t="s">
        <v>134</v>
      </c>
      <c r="P1" s="67"/>
      <c r="Q1" s="67"/>
    </row>
    <row r="2" spans="1:17" x14ac:dyDescent="0.2">
      <c r="A2" s="34" t="s">
        <v>0</v>
      </c>
      <c r="B2" s="34">
        <f>SUM(F3:M3)</f>
        <v>2000</v>
      </c>
      <c r="D2" s="71" t="s">
        <v>1</v>
      </c>
      <c r="E2" s="71"/>
      <c r="F2" s="14" t="s">
        <v>2</v>
      </c>
      <c r="G2" s="34" t="s">
        <v>3</v>
      </c>
      <c r="H2" s="34" t="s">
        <v>4</v>
      </c>
      <c r="I2" s="34" t="s">
        <v>5</v>
      </c>
      <c r="J2" s="34" t="s">
        <v>6</v>
      </c>
      <c r="K2" s="34" t="s">
        <v>7</v>
      </c>
      <c r="L2" s="34" t="s">
        <v>8</v>
      </c>
      <c r="M2" s="34" t="s">
        <v>9</v>
      </c>
      <c r="O2" s="34" t="s">
        <v>135</v>
      </c>
      <c r="P2" s="34" t="s">
        <v>120</v>
      </c>
      <c r="Q2" s="34" t="s">
        <v>129</v>
      </c>
    </row>
    <row r="3" spans="1:17" ht="16.350000000000001" customHeight="1" x14ac:dyDescent="0.2">
      <c r="A3" s="34" t="s">
        <v>10</v>
      </c>
      <c r="B3" s="2">
        <f>MAX(wind!B3:B26)+MAX(wind!C3:C26)</f>
        <v>982.44999999999993</v>
      </c>
      <c r="D3" s="69" t="s">
        <v>93</v>
      </c>
      <c r="E3" s="34" t="s">
        <v>15</v>
      </c>
      <c r="F3" s="14">
        <v>200</v>
      </c>
      <c r="G3" s="34">
        <v>200</v>
      </c>
      <c r="H3" s="34">
        <v>200</v>
      </c>
      <c r="I3" s="34">
        <v>200</v>
      </c>
      <c r="J3" s="34">
        <v>300</v>
      </c>
      <c r="K3" s="34">
        <v>300</v>
      </c>
      <c r="L3" s="34">
        <v>300</v>
      </c>
      <c r="M3" s="34">
        <v>300</v>
      </c>
      <c r="O3" s="34" t="s">
        <v>121</v>
      </c>
      <c r="P3" s="34" t="s">
        <v>122</v>
      </c>
      <c r="Q3" s="34" t="s">
        <v>122</v>
      </c>
    </row>
    <row r="4" spans="1:17" ht="16.350000000000001" customHeight="1" x14ac:dyDescent="0.2">
      <c r="A4" s="1" t="s">
        <v>14</v>
      </c>
      <c r="B4" s="2">
        <f>MAX(load!B2:B25)</f>
        <v>2138.8679999999999</v>
      </c>
      <c r="D4" s="69"/>
      <c r="E4" s="34" t="s">
        <v>100</v>
      </c>
      <c r="F4" s="14">
        <f>F3*0.6</f>
        <v>120</v>
      </c>
      <c r="G4" s="34">
        <f t="shared" ref="G4:M4" si="0">G3*0.6</f>
        <v>120</v>
      </c>
      <c r="H4" s="34">
        <f t="shared" si="0"/>
        <v>120</v>
      </c>
      <c r="I4" s="34">
        <f t="shared" si="0"/>
        <v>120</v>
      </c>
      <c r="J4" s="34">
        <f t="shared" si="0"/>
        <v>180</v>
      </c>
      <c r="K4" s="34">
        <f t="shared" si="0"/>
        <v>180</v>
      </c>
      <c r="L4" s="34">
        <f t="shared" si="0"/>
        <v>180</v>
      </c>
      <c r="M4" s="34">
        <f t="shared" si="0"/>
        <v>180</v>
      </c>
      <c r="O4" s="34" t="s">
        <v>123</v>
      </c>
      <c r="P4" s="34">
        <v>1</v>
      </c>
      <c r="Q4" s="34">
        <v>1</v>
      </c>
    </row>
    <row r="5" spans="1:17" ht="16.350000000000001" customHeight="1" x14ac:dyDescent="0.2">
      <c r="A5" s="1" t="s">
        <v>141</v>
      </c>
      <c r="B5" s="34">
        <f>P9+Q9</f>
        <v>200</v>
      </c>
      <c r="D5" s="69"/>
      <c r="E5" s="34" t="s">
        <v>101</v>
      </c>
      <c r="F5" s="14">
        <f>0.45*F3</f>
        <v>90</v>
      </c>
      <c r="G5" s="34">
        <f t="shared" ref="G5:M5" si="1">0.45*G3</f>
        <v>90</v>
      </c>
      <c r="H5" s="34">
        <f t="shared" si="1"/>
        <v>90</v>
      </c>
      <c r="I5" s="34">
        <f t="shared" si="1"/>
        <v>90</v>
      </c>
      <c r="J5" s="34">
        <f t="shared" si="1"/>
        <v>135</v>
      </c>
      <c r="K5" s="34">
        <f t="shared" si="1"/>
        <v>135</v>
      </c>
      <c r="L5" s="34">
        <f t="shared" si="1"/>
        <v>135</v>
      </c>
      <c r="M5" s="34">
        <f t="shared" si="1"/>
        <v>135</v>
      </c>
      <c r="O5" s="34" t="s">
        <v>133</v>
      </c>
      <c r="P5" s="34">
        <v>2</v>
      </c>
      <c r="Q5" s="34">
        <v>2</v>
      </c>
    </row>
    <row r="6" spans="1:17" ht="16.350000000000001" customHeight="1" x14ac:dyDescent="0.2">
      <c r="A6" s="34" t="s">
        <v>11</v>
      </c>
      <c r="B6" s="7">
        <f>B2/B4</f>
        <v>0.93507406721686426</v>
      </c>
      <c r="D6" s="69"/>
      <c r="E6" s="34" t="s">
        <v>102</v>
      </c>
      <c r="F6" s="14">
        <f>0.3*F3</f>
        <v>60</v>
      </c>
      <c r="G6" s="34">
        <f t="shared" ref="G6:M6" si="2">0.3*G3</f>
        <v>60</v>
      </c>
      <c r="H6" s="34">
        <f t="shared" si="2"/>
        <v>60</v>
      </c>
      <c r="I6" s="34">
        <f t="shared" si="2"/>
        <v>60</v>
      </c>
      <c r="J6" s="34">
        <f t="shared" si="2"/>
        <v>90</v>
      </c>
      <c r="K6" s="34">
        <f t="shared" si="2"/>
        <v>90</v>
      </c>
      <c r="L6" s="34">
        <f t="shared" si="2"/>
        <v>90</v>
      </c>
      <c r="M6" s="34">
        <f t="shared" si="2"/>
        <v>90</v>
      </c>
      <c r="O6" s="34" t="s">
        <v>124</v>
      </c>
      <c r="P6" s="34">
        <v>100</v>
      </c>
      <c r="Q6" s="34">
        <v>150</v>
      </c>
    </row>
    <row r="7" spans="1:17" ht="16.350000000000001" customHeight="1" x14ac:dyDescent="0.2">
      <c r="A7" s="34" t="s">
        <v>12</v>
      </c>
      <c r="B7" s="7">
        <f>B3/B4</f>
        <v>0.4593317586686041</v>
      </c>
      <c r="D7" s="69" t="s">
        <v>63</v>
      </c>
      <c r="E7" s="34" t="s">
        <v>60</v>
      </c>
      <c r="F7" s="14">
        <f>0.015*F3</f>
        <v>3</v>
      </c>
      <c r="G7" s="14">
        <f t="shared" ref="G7:M7" si="3">0.015*G3</f>
        <v>3</v>
      </c>
      <c r="H7" s="14">
        <f t="shared" si="3"/>
        <v>3</v>
      </c>
      <c r="I7" s="14">
        <f t="shared" si="3"/>
        <v>3</v>
      </c>
      <c r="J7" s="14">
        <f t="shared" si="3"/>
        <v>4.5</v>
      </c>
      <c r="K7" s="14">
        <f t="shared" si="3"/>
        <v>4.5</v>
      </c>
      <c r="L7" s="14">
        <f t="shared" si="3"/>
        <v>4.5</v>
      </c>
      <c r="M7" s="14">
        <f t="shared" si="3"/>
        <v>4.5</v>
      </c>
      <c r="O7" s="34" t="s">
        <v>125</v>
      </c>
      <c r="P7" s="34">
        <f>P6*P4</f>
        <v>100</v>
      </c>
      <c r="Q7" s="34">
        <f>Q6*Q4</f>
        <v>150</v>
      </c>
    </row>
    <row r="8" spans="1:17" x14ac:dyDescent="0.2">
      <c r="A8" s="34" t="s">
        <v>142</v>
      </c>
      <c r="B8" s="7">
        <f>B5/B4</f>
        <v>9.3507406721686434E-2</v>
      </c>
      <c r="D8" s="69"/>
      <c r="E8" s="34" t="s">
        <v>61</v>
      </c>
      <c r="F8" s="14">
        <f>0.01*F3</f>
        <v>2</v>
      </c>
      <c r="G8" s="14">
        <f t="shared" ref="G8:M8" si="4">0.01*G3</f>
        <v>2</v>
      </c>
      <c r="H8" s="14">
        <f t="shared" si="4"/>
        <v>2</v>
      </c>
      <c r="I8" s="14">
        <f t="shared" si="4"/>
        <v>2</v>
      </c>
      <c r="J8" s="14">
        <f t="shared" si="4"/>
        <v>3</v>
      </c>
      <c r="K8" s="14">
        <f t="shared" si="4"/>
        <v>3</v>
      </c>
      <c r="L8" s="14">
        <f t="shared" si="4"/>
        <v>3</v>
      </c>
      <c r="M8" s="14">
        <f t="shared" si="4"/>
        <v>3</v>
      </c>
      <c r="O8" s="34" t="s">
        <v>132</v>
      </c>
      <c r="P8" s="34">
        <f>P6*P5</f>
        <v>200</v>
      </c>
      <c r="Q8" s="34">
        <f>Q6*Q5</f>
        <v>300</v>
      </c>
    </row>
    <row r="9" spans="1:17" x14ac:dyDescent="0.2">
      <c r="D9" s="69"/>
      <c r="E9" s="34" t="s">
        <v>62</v>
      </c>
      <c r="F9" s="14">
        <f>0.005*F3</f>
        <v>1</v>
      </c>
      <c r="G9" s="14">
        <f t="shared" ref="G9:M9" si="5">0.005*G3</f>
        <v>1</v>
      </c>
      <c r="H9" s="14">
        <f t="shared" si="5"/>
        <v>1</v>
      </c>
      <c r="I9" s="14">
        <f t="shared" si="5"/>
        <v>1</v>
      </c>
      <c r="J9" s="14">
        <f t="shared" si="5"/>
        <v>1.5</v>
      </c>
      <c r="K9" s="14">
        <f t="shared" si="5"/>
        <v>1.5</v>
      </c>
      <c r="L9" s="14">
        <f t="shared" si="5"/>
        <v>1.5</v>
      </c>
      <c r="M9" s="14">
        <f t="shared" si="5"/>
        <v>1.5</v>
      </c>
      <c r="O9" s="34" t="s">
        <v>136</v>
      </c>
      <c r="P9" s="34">
        <f>0.8*P7</f>
        <v>80</v>
      </c>
      <c r="Q9" s="34">
        <f>0.8*Q7</f>
        <v>120</v>
      </c>
    </row>
    <row r="10" spans="1:17" ht="18.75" x14ac:dyDescent="0.2">
      <c r="D10" s="69" t="s">
        <v>137</v>
      </c>
      <c r="E10" s="34" t="s">
        <v>112</v>
      </c>
      <c r="F10" s="14">
        <v>6.0099999999999997E-3</v>
      </c>
      <c r="G10" s="34">
        <v>5.1900000000000002E-3</v>
      </c>
      <c r="H10" s="34">
        <v>6.8799999999999998E-3</v>
      </c>
      <c r="I10" s="34">
        <v>5.7200000000000003E-3</v>
      </c>
      <c r="J10" s="34">
        <v>4.0600000000000002E-3</v>
      </c>
      <c r="K10" s="34">
        <v>3.13E-3</v>
      </c>
      <c r="L10" s="34">
        <v>2.82E-3</v>
      </c>
      <c r="M10" s="34">
        <v>4.8599999999999997E-3</v>
      </c>
      <c r="O10" s="34" t="s">
        <v>138</v>
      </c>
      <c r="P10" s="34">
        <f>-0.8*P7</f>
        <v>-80</v>
      </c>
      <c r="Q10" s="34">
        <f>-0.8*Q7</f>
        <v>-120</v>
      </c>
    </row>
    <row r="11" spans="1:17" x14ac:dyDescent="0.2">
      <c r="D11" s="69"/>
      <c r="E11" s="51" t="s">
        <v>113</v>
      </c>
      <c r="F11" s="14">
        <v>176.1</v>
      </c>
      <c r="G11" s="34">
        <v>184.2</v>
      </c>
      <c r="H11" s="34">
        <v>173.7</v>
      </c>
      <c r="I11" s="34">
        <v>170.9</v>
      </c>
      <c r="J11" s="14">
        <v>165.9</v>
      </c>
      <c r="K11" s="34">
        <v>157.80000000000001</v>
      </c>
      <c r="L11" s="34">
        <v>160.6</v>
      </c>
      <c r="M11" s="34">
        <v>162.19999999999999</v>
      </c>
      <c r="O11" s="34" t="s">
        <v>139</v>
      </c>
      <c r="P11" s="34">
        <f>0.9*P8</f>
        <v>180</v>
      </c>
      <c r="Q11" s="34">
        <f>0.9*Q8</f>
        <v>270</v>
      </c>
    </row>
    <row r="12" spans="1:17" x14ac:dyDescent="0.2">
      <c r="D12" s="69"/>
      <c r="E12" s="34" t="s">
        <v>114</v>
      </c>
      <c r="F12" s="14">
        <v>2187.2600000000002</v>
      </c>
      <c r="G12" s="34">
        <v>2214.69</v>
      </c>
      <c r="H12" s="34">
        <v>2047.46</v>
      </c>
      <c r="I12" s="34">
        <v>1985.58</v>
      </c>
      <c r="J12" s="34">
        <v>3648.13</v>
      </c>
      <c r="K12" s="34">
        <v>3843.16</v>
      </c>
      <c r="L12" s="34">
        <v>3740.98</v>
      </c>
      <c r="M12" s="34">
        <v>3505.22</v>
      </c>
      <c r="O12" s="34" t="s">
        <v>130</v>
      </c>
      <c r="P12" s="34">
        <f>0.1*P8</f>
        <v>20</v>
      </c>
      <c r="Q12" s="34">
        <f>0.1*Q8</f>
        <v>30</v>
      </c>
    </row>
    <row r="13" spans="1:17" x14ac:dyDescent="0.2">
      <c r="D13" s="70" t="s">
        <v>110</v>
      </c>
      <c r="E13" s="34" t="s">
        <v>106</v>
      </c>
      <c r="F13" s="14">
        <v>0.70669999999999999</v>
      </c>
      <c r="G13" s="34">
        <v>0.71120000000000005</v>
      </c>
      <c r="H13" s="34">
        <v>0.69450000000000001</v>
      </c>
      <c r="I13" s="34">
        <v>0.68669999999999998</v>
      </c>
      <c r="J13" s="34">
        <v>0.71319999999999995</v>
      </c>
      <c r="K13" s="34">
        <v>0.72060000000000002</v>
      </c>
      <c r="L13" s="34">
        <v>0.71479999999999999</v>
      </c>
      <c r="M13" s="34">
        <v>0.73409999999999997</v>
      </c>
      <c r="O13" s="34" t="s">
        <v>131</v>
      </c>
      <c r="P13" s="34">
        <f>0.4*P8</f>
        <v>80</v>
      </c>
      <c r="Q13" s="34">
        <f>0.4*Q8</f>
        <v>120</v>
      </c>
    </row>
    <row r="14" spans="1:17" x14ac:dyDescent="0.2">
      <c r="D14" s="69"/>
      <c r="E14" s="34" t="s">
        <v>107</v>
      </c>
      <c r="F14" s="14">
        <v>15.943</v>
      </c>
      <c r="G14" s="34">
        <v>15.068</v>
      </c>
      <c r="H14" s="34">
        <v>15.885999999999999</v>
      </c>
      <c r="I14" s="34">
        <v>16.004000000000001</v>
      </c>
      <c r="J14" s="34">
        <v>13.622</v>
      </c>
      <c r="K14" s="34">
        <v>12.321</v>
      </c>
      <c r="L14" s="34">
        <v>12.468</v>
      </c>
      <c r="M14" s="34">
        <v>11.467000000000001</v>
      </c>
      <c r="O14" s="34" t="s">
        <v>126</v>
      </c>
      <c r="P14" s="34">
        <v>0.95</v>
      </c>
      <c r="Q14" s="34">
        <v>0.95</v>
      </c>
    </row>
    <row r="15" spans="1:17" x14ac:dyDescent="0.2">
      <c r="D15" s="69" t="s">
        <v>66</v>
      </c>
      <c r="E15" s="34" t="s">
        <v>117</v>
      </c>
      <c r="F15" s="14">
        <v>0.8</v>
      </c>
      <c r="G15" s="34">
        <v>0.8</v>
      </c>
      <c r="H15" s="34">
        <v>0.8</v>
      </c>
      <c r="I15" s="34">
        <v>0.8</v>
      </c>
      <c r="J15" s="34">
        <v>0.7</v>
      </c>
      <c r="K15" s="34">
        <v>0.7</v>
      </c>
      <c r="L15" s="34">
        <v>0.7</v>
      </c>
      <c r="M15" s="34">
        <v>0.7</v>
      </c>
      <c r="O15" s="34" t="s">
        <v>127</v>
      </c>
      <c r="P15" s="34">
        <v>8</v>
      </c>
      <c r="Q15" s="34">
        <v>6</v>
      </c>
    </row>
    <row r="16" spans="1:17" x14ac:dyDescent="0.2">
      <c r="D16" s="69"/>
      <c r="E16" s="34" t="s">
        <v>64</v>
      </c>
      <c r="F16" s="14">
        <v>1</v>
      </c>
      <c r="G16" s="34">
        <v>1</v>
      </c>
      <c r="H16" s="34">
        <v>1</v>
      </c>
      <c r="I16" s="34">
        <v>1</v>
      </c>
      <c r="J16" s="34">
        <v>1</v>
      </c>
      <c r="K16" s="34">
        <v>1</v>
      </c>
      <c r="L16" s="34">
        <v>1</v>
      </c>
      <c r="M16" s="34">
        <v>1</v>
      </c>
      <c r="O16" s="34" t="s">
        <v>128</v>
      </c>
      <c r="P16" s="34">
        <v>40</v>
      </c>
      <c r="Q16" s="34">
        <v>50</v>
      </c>
    </row>
    <row r="17" spans="4:17" x14ac:dyDescent="0.2">
      <c r="D17" s="69"/>
      <c r="E17" s="34" t="s">
        <v>118</v>
      </c>
      <c r="F17" s="14">
        <v>0.5</v>
      </c>
      <c r="G17" s="34">
        <v>0.5</v>
      </c>
      <c r="H17" s="34">
        <v>0.5</v>
      </c>
      <c r="I17" s="34">
        <v>0.5</v>
      </c>
      <c r="J17" s="34">
        <v>0.4</v>
      </c>
      <c r="K17" s="34">
        <v>0.4</v>
      </c>
      <c r="L17" s="34">
        <v>0.4</v>
      </c>
      <c r="M17" s="34">
        <v>0.4</v>
      </c>
      <c r="O17" s="34" t="s">
        <v>140</v>
      </c>
      <c r="P17" s="34">
        <v>0.16</v>
      </c>
      <c r="Q17" s="34">
        <v>0.18</v>
      </c>
    </row>
    <row r="18" spans="4:17" x14ac:dyDescent="0.2">
      <c r="D18" s="69"/>
      <c r="E18" s="34" t="s">
        <v>70</v>
      </c>
      <c r="F18" s="14">
        <f>F16/F15</f>
        <v>1.25</v>
      </c>
      <c r="G18" s="14">
        <f t="shared" ref="G18:M18" si="6">G16/G15</f>
        <v>1.25</v>
      </c>
      <c r="H18" s="14">
        <f t="shared" si="6"/>
        <v>1.25</v>
      </c>
      <c r="I18" s="14">
        <f t="shared" si="6"/>
        <v>1.25</v>
      </c>
      <c r="J18" s="14">
        <f>J16/J15</f>
        <v>1.4285714285714286</v>
      </c>
      <c r="K18" s="14">
        <f t="shared" si="6"/>
        <v>1.4285714285714286</v>
      </c>
      <c r="L18" s="14">
        <f t="shared" si="6"/>
        <v>1.4285714285714286</v>
      </c>
      <c r="M18" s="14">
        <f t="shared" si="6"/>
        <v>1.4285714285714286</v>
      </c>
      <c r="O18" s="34" t="s">
        <v>84</v>
      </c>
      <c r="P18" s="34">
        <v>8.0000000000000004E-4</v>
      </c>
      <c r="Q18" s="34">
        <v>8.0000000000000004E-4</v>
      </c>
    </row>
    <row r="19" spans="4:17" x14ac:dyDescent="0.2">
      <c r="D19" s="69"/>
      <c r="E19" s="34" t="s">
        <v>65</v>
      </c>
      <c r="F19" s="14">
        <f>F18*F17</f>
        <v>0.625</v>
      </c>
      <c r="G19" s="14">
        <f t="shared" ref="G19:M19" si="7">G18*G17</f>
        <v>0.625</v>
      </c>
      <c r="H19" s="14">
        <f t="shared" si="7"/>
        <v>0.625</v>
      </c>
      <c r="I19" s="14">
        <f t="shared" si="7"/>
        <v>0.625</v>
      </c>
      <c r="J19" s="14">
        <f t="shared" si="7"/>
        <v>0.57142857142857151</v>
      </c>
      <c r="K19" s="14">
        <f t="shared" si="7"/>
        <v>0.57142857142857151</v>
      </c>
      <c r="L19" s="14">
        <f t="shared" si="7"/>
        <v>0.57142857142857151</v>
      </c>
      <c r="M19" s="14">
        <f t="shared" si="7"/>
        <v>0.57142857142857151</v>
      </c>
      <c r="O19" s="34" t="s">
        <v>83</v>
      </c>
      <c r="P19" s="34">
        <v>0.2</v>
      </c>
      <c r="Q19" s="34">
        <v>0.2</v>
      </c>
    </row>
    <row r="20" spans="4:17" x14ac:dyDescent="0.2">
      <c r="D20" s="69"/>
      <c r="E20" s="34" t="s">
        <v>119</v>
      </c>
      <c r="F20" s="14">
        <v>0.5</v>
      </c>
      <c r="G20" s="34">
        <v>0.5</v>
      </c>
      <c r="H20" s="34">
        <v>0.5</v>
      </c>
      <c r="I20" s="34">
        <v>0.5</v>
      </c>
      <c r="J20" s="34">
        <v>0.5</v>
      </c>
      <c r="K20" s="34">
        <v>0.5</v>
      </c>
      <c r="L20" s="34">
        <v>0.5</v>
      </c>
      <c r="M20" s="34">
        <v>0.5</v>
      </c>
    </row>
    <row r="21" spans="4:17" x14ac:dyDescent="0.2">
      <c r="D21" s="69" t="s">
        <v>94</v>
      </c>
      <c r="E21" s="34" t="s">
        <v>111</v>
      </c>
      <c r="F21" s="34">
        <v>80000</v>
      </c>
      <c r="G21" s="50">
        <v>80000</v>
      </c>
      <c r="H21" s="50">
        <v>80000</v>
      </c>
      <c r="I21" s="50">
        <v>80000</v>
      </c>
      <c r="J21" s="34">
        <v>100000</v>
      </c>
      <c r="K21" s="50">
        <v>100000</v>
      </c>
      <c r="L21" s="50">
        <v>100000</v>
      </c>
      <c r="M21" s="50">
        <v>100000</v>
      </c>
    </row>
    <row r="22" spans="4:17" x14ac:dyDescent="0.2">
      <c r="D22" s="69"/>
      <c r="E22" s="34" t="s">
        <v>92</v>
      </c>
      <c r="F22" s="14">
        <v>4</v>
      </c>
      <c r="G22" s="14">
        <v>4</v>
      </c>
      <c r="H22" s="14">
        <v>4</v>
      </c>
      <c r="I22" s="14">
        <v>4</v>
      </c>
      <c r="J22" s="34">
        <v>6</v>
      </c>
      <c r="K22" s="62">
        <v>6</v>
      </c>
      <c r="L22" s="62">
        <v>6</v>
      </c>
      <c r="M22" s="62">
        <v>6</v>
      </c>
    </row>
    <row r="23" spans="4:17" x14ac:dyDescent="0.2">
      <c r="D23" s="69"/>
      <c r="E23" s="34" t="s">
        <v>89</v>
      </c>
      <c r="F23" s="14">
        <v>2</v>
      </c>
      <c r="G23" s="14">
        <v>2</v>
      </c>
      <c r="H23" s="14">
        <v>2</v>
      </c>
      <c r="I23" s="14">
        <v>2</v>
      </c>
      <c r="J23" s="14">
        <v>2</v>
      </c>
      <c r="K23" s="14">
        <v>2</v>
      </c>
      <c r="L23" s="14">
        <v>2</v>
      </c>
      <c r="M23" s="14">
        <v>2</v>
      </c>
    </row>
    <row r="24" spans="4:17" x14ac:dyDescent="0.2">
      <c r="D24" s="69"/>
      <c r="E24" s="34" t="s">
        <v>90</v>
      </c>
      <c r="F24" s="14">
        <v>2</v>
      </c>
      <c r="G24" s="14">
        <v>2</v>
      </c>
      <c r="H24" s="14">
        <v>2</v>
      </c>
      <c r="I24" s="14">
        <v>2</v>
      </c>
      <c r="J24" s="14">
        <v>2</v>
      </c>
      <c r="K24" s="14">
        <v>2</v>
      </c>
      <c r="L24" s="14">
        <v>2</v>
      </c>
      <c r="M24" s="14">
        <v>2</v>
      </c>
    </row>
    <row r="25" spans="4:17" x14ac:dyDescent="0.2">
      <c r="D25" s="69"/>
      <c r="E25" s="34" t="s">
        <v>91</v>
      </c>
      <c r="F25" s="14">
        <v>2</v>
      </c>
      <c r="G25" s="14">
        <v>2</v>
      </c>
      <c r="H25" s="14">
        <v>2</v>
      </c>
      <c r="I25" s="14">
        <v>2</v>
      </c>
      <c r="J25" s="14">
        <v>2</v>
      </c>
      <c r="K25" s="14">
        <v>2</v>
      </c>
      <c r="L25" s="14">
        <v>2</v>
      </c>
      <c r="M25" s="14">
        <v>2</v>
      </c>
    </row>
    <row r="26" spans="4:17" x14ac:dyDescent="0.2">
      <c r="D26" s="70" t="s">
        <v>85</v>
      </c>
      <c r="E26" s="34" t="s">
        <v>71</v>
      </c>
      <c r="F26" s="14">
        <v>0.29699999999999999</v>
      </c>
      <c r="G26" s="34">
        <v>0.28499999999999998</v>
      </c>
      <c r="H26" s="34">
        <v>0.26400000000000001</v>
      </c>
      <c r="I26" s="34">
        <v>0.26800000000000002</v>
      </c>
      <c r="J26" s="34">
        <v>0.34200000000000003</v>
      </c>
      <c r="K26" s="34">
        <v>0.33500000000000002</v>
      </c>
      <c r="L26" s="34">
        <v>0.316</v>
      </c>
      <c r="M26" s="34">
        <v>0.308</v>
      </c>
    </row>
    <row r="27" spans="4:17" x14ac:dyDescent="0.2">
      <c r="D27" s="69"/>
      <c r="E27" s="34" t="s">
        <v>72</v>
      </c>
      <c r="F27" s="14">
        <f>F26/F15</f>
        <v>0.37124999999999997</v>
      </c>
      <c r="G27" s="14">
        <f t="shared" ref="G27:L27" si="8">G26/G15</f>
        <v>0.35624999999999996</v>
      </c>
      <c r="H27" s="14">
        <f t="shared" si="8"/>
        <v>0.33</v>
      </c>
      <c r="I27" s="14">
        <f t="shared" si="8"/>
        <v>0.33500000000000002</v>
      </c>
      <c r="J27" s="14">
        <f t="shared" si="8"/>
        <v>0.48857142857142866</v>
      </c>
      <c r="K27" s="14">
        <f t="shared" si="8"/>
        <v>0.47857142857142865</v>
      </c>
      <c r="L27" s="14">
        <f t="shared" si="8"/>
        <v>0.45142857142857146</v>
      </c>
      <c r="M27" s="14">
        <f>M26/M15</f>
        <v>0.44</v>
      </c>
    </row>
    <row r="28" spans="4:17" x14ac:dyDescent="0.2">
      <c r="D28" s="69"/>
      <c r="E28" s="34" t="s">
        <v>73</v>
      </c>
      <c r="F28" s="14">
        <f>F27*F17</f>
        <v>0.18562499999999998</v>
      </c>
      <c r="G28" s="14">
        <f t="shared" ref="G28:M28" si="9">G27*G17</f>
        <v>0.17812499999999998</v>
      </c>
      <c r="H28" s="14">
        <f t="shared" si="9"/>
        <v>0.16500000000000001</v>
      </c>
      <c r="I28" s="14">
        <f t="shared" si="9"/>
        <v>0.16750000000000001</v>
      </c>
      <c r="J28" s="14">
        <f t="shared" si="9"/>
        <v>0.19542857142857148</v>
      </c>
      <c r="K28" s="14">
        <f t="shared" si="9"/>
        <v>0.19142857142857148</v>
      </c>
      <c r="L28" s="14">
        <f t="shared" si="9"/>
        <v>0.1805714285714286</v>
      </c>
      <c r="M28" s="14">
        <f t="shared" si="9"/>
        <v>0.17600000000000002</v>
      </c>
    </row>
    <row r="29" spans="4:17" x14ac:dyDescent="0.2">
      <c r="D29" s="70" t="s">
        <v>86</v>
      </c>
      <c r="E29" s="34" t="s">
        <v>74</v>
      </c>
      <c r="F29" s="14">
        <v>5.1609999999999996</v>
      </c>
      <c r="G29" s="14">
        <v>5.774</v>
      </c>
      <c r="H29" s="14">
        <v>5.3390000000000004</v>
      </c>
      <c r="I29" s="14">
        <v>5.4429999999999996</v>
      </c>
      <c r="J29" s="14">
        <v>6.1980000000000004</v>
      </c>
      <c r="K29" s="14">
        <v>6.4390000000000001</v>
      </c>
      <c r="L29" s="14">
        <v>6.2569999999999997</v>
      </c>
      <c r="M29" s="14">
        <v>6.1929999999999996</v>
      </c>
    </row>
    <row r="30" spans="4:17" x14ac:dyDescent="0.2">
      <c r="D30" s="69"/>
      <c r="E30" s="34" t="s">
        <v>75</v>
      </c>
      <c r="F30" s="14">
        <f t="shared" ref="F30:M30" si="10">F29/F20</f>
        <v>10.321999999999999</v>
      </c>
      <c r="G30" s="14">
        <f t="shared" si="10"/>
        <v>11.548</v>
      </c>
      <c r="H30" s="14">
        <f t="shared" si="10"/>
        <v>10.678000000000001</v>
      </c>
      <c r="I30" s="14">
        <f t="shared" si="10"/>
        <v>10.885999999999999</v>
      </c>
      <c r="J30" s="14">
        <f t="shared" si="10"/>
        <v>12.396000000000001</v>
      </c>
      <c r="K30" s="14">
        <f t="shared" si="10"/>
        <v>12.878</v>
      </c>
      <c r="L30" s="14">
        <f t="shared" si="10"/>
        <v>12.513999999999999</v>
      </c>
      <c r="M30" s="14">
        <f t="shared" si="10"/>
        <v>12.385999999999999</v>
      </c>
    </row>
    <row r="31" spans="4:17" x14ac:dyDescent="0.2">
      <c r="D31" s="70" t="s">
        <v>87</v>
      </c>
      <c r="E31" s="34" t="s">
        <v>76</v>
      </c>
      <c r="F31" s="14">
        <v>0.84299999999999997</v>
      </c>
      <c r="G31" s="34">
        <v>0.59399999999999997</v>
      </c>
      <c r="H31" s="34">
        <v>0.91400000000000003</v>
      </c>
      <c r="I31" s="34">
        <v>0.68600000000000005</v>
      </c>
      <c r="J31" s="34">
        <v>0.81299999999999994</v>
      </c>
      <c r="K31" s="34">
        <v>0.93500000000000005</v>
      </c>
      <c r="L31" s="34">
        <v>0.77800000000000002</v>
      </c>
      <c r="M31" s="34">
        <v>0.85799999999999998</v>
      </c>
    </row>
    <row r="32" spans="4:17" ht="15.75" customHeight="1" x14ac:dyDescent="0.2">
      <c r="D32" s="69"/>
      <c r="E32" s="34" t="s">
        <v>77</v>
      </c>
      <c r="F32" s="14">
        <v>1.0266999999999999</v>
      </c>
      <c r="G32" s="34">
        <v>1.0266999999999999</v>
      </c>
      <c r="H32" s="34">
        <v>1.0266999999999999</v>
      </c>
      <c r="I32" s="34">
        <v>1.0266999999999999</v>
      </c>
      <c r="J32" s="34">
        <v>1.0266999999999999</v>
      </c>
      <c r="K32" s="34">
        <v>1.0266999999999999</v>
      </c>
      <c r="L32" s="34">
        <v>1.0266999999999999</v>
      </c>
      <c r="M32" s="34">
        <v>1.0266999999999999</v>
      </c>
    </row>
    <row r="33" spans="4:13" x14ac:dyDescent="0.2">
      <c r="D33" s="69"/>
      <c r="E33" s="34" t="s">
        <v>78</v>
      </c>
      <c r="F33" s="14">
        <v>-2.2963</v>
      </c>
      <c r="G33" s="34">
        <v>-2.2963</v>
      </c>
      <c r="H33" s="34">
        <v>-2.2963</v>
      </c>
      <c r="I33" s="34">
        <v>-2.2963</v>
      </c>
      <c r="J33" s="34">
        <v>-2.2963</v>
      </c>
      <c r="K33" s="34">
        <v>-2.2963</v>
      </c>
      <c r="L33" s="34">
        <v>-2.2963</v>
      </c>
      <c r="M33" s="34">
        <v>-2.2963</v>
      </c>
    </row>
    <row r="34" spans="4:13" x14ac:dyDescent="0.2">
      <c r="D34" s="69"/>
      <c r="E34" s="34" t="s">
        <v>79</v>
      </c>
      <c r="F34" s="14">
        <v>1.405</v>
      </c>
      <c r="G34" s="34">
        <v>1.405</v>
      </c>
      <c r="H34" s="34">
        <v>1.405</v>
      </c>
      <c r="I34" s="34">
        <v>1.405</v>
      </c>
      <c r="J34" s="34">
        <v>1.405</v>
      </c>
      <c r="K34" s="34">
        <v>1.405</v>
      </c>
      <c r="L34" s="34">
        <v>1.405</v>
      </c>
      <c r="M34" s="34">
        <v>1.405</v>
      </c>
    </row>
    <row r="35" spans="4:13" x14ac:dyDescent="0.2">
      <c r="D35" s="69"/>
      <c r="E35" s="34" t="s">
        <v>80</v>
      </c>
      <c r="F35" s="14">
        <v>0.86460000000000004</v>
      </c>
      <c r="G35" s="34">
        <v>0.86460000000000004</v>
      </c>
      <c r="H35" s="34">
        <v>0.86460000000000004</v>
      </c>
      <c r="I35" s="34">
        <v>0.86460000000000004</v>
      </c>
      <c r="J35" s="34">
        <v>0.86460000000000004</v>
      </c>
      <c r="K35" s="34">
        <v>0.86460000000000004</v>
      </c>
      <c r="L35" s="34">
        <v>0.86460000000000004</v>
      </c>
      <c r="M35" s="34">
        <v>0.86460000000000004</v>
      </c>
    </row>
    <row r="36" spans="4:13" x14ac:dyDescent="0.2">
      <c r="D36" s="70" t="s">
        <v>88</v>
      </c>
      <c r="E36" s="34" t="s">
        <v>76</v>
      </c>
      <c r="F36" s="14">
        <v>0.30099999999999999</v>
      </c>
      <c r="G36" s="34">
        <v>0.26900000000000002</v>
      </c>
      <c r="H36" s="34">
        <v>0.28699999999999998</v>
      </c>
      <c r="I36" s="34">
        <v>0.27300000000000002</v>
      </c>
      <c r="J36" s="34">
        <v>0.29599999999999999</v>
      </c>
      <c r="K36" s="34">
        <v>0.307</v>
      </c>
      <c r="L36" s="34">
        <v>0.255</v>
      </c>
      <c r="M36" s="34">
        <v>0.28199999999999997</v>
      </c>
    </row>
    <row r="37" spans="4:13" x14ac:dyDescent="0.2">
      <c r="D37" s="69"/>
      <c r="E37" s="34" t="s">
        <v>81</v>
      </c>
      <c r="F37" s="14">
        <v>0.69640000000000002</v>
      </c>
      <c r="G37" s="34">
        <v>0.69640000000000002</v>
      </c>
      <c r="H37" s="34">
        <v>0.69640000000000002</v>
      </c>
      <c r="I37" s="34">
        <v>0.69640000000000002</v>
      </c>
      <c r="J37" s="34">
        <v>0.69640000000000002</v>
      </c>
      <c r="K37" s="34">
        <v>0.69640000000000002</v>
      </c>
      <c r="L37" s="34">
        <v>0.69640000000000002</v>
      </c>
      <c r="M37" s="34">
        <v>0.69640000000000002</v>
      </c>
    </row>
    <row r="38" spans="4:13" x14ac:dyDescent="0.2">
      <c r="D38" s="69"/>
      <c r="E38" s="34" t="s">
        <v>77</v>
      </c>
      <c r="F38" s="14">
        <v>-1.9652000000000001</v>
      </c>
      <c r="G38" s="34">
        <v>-1.9652000000000001</v>
      </c>
      <c r="H38" s="34">
        <v>-1.9652000000000001</v>
      </c>
      <c r="I38" s="34">
        <v>-1.9652000000000001</v>
      </c>
      <c r="J38" s="34">
        <v>-1.9652000000000001</v>
      </c>
      <c r="K38" s="34">
        <v>-1.9652000000000001</v>
      </c>
      <c r="L38" s="34">
        <v>-1.9652000000000001</v>
      </c>
      <c r="M38" s="34">
        <v>-1.9652000000000001</v>
      </c>
    </row>
    <row r="39" spans="4:13" x14ac:dyDescent="0.2">
      <c r="D39" s="69"/>
      <c r="E39" s="34" t="s">
        <v>78</v>
      </c>
      <c r="F39" s="14">
        <v>2.0333000000000001</v>
      </c>
      <c r="G39" s="34">
        <v>2.0333000000000001</v>
      </c>
      <c r="H39" s="34">
        <v>2.0333000000000001</v>
      </c>
      <c r="I39" s="34">
        <v>2.0333000000000001</v>
      </c>
      <c r="J39" s="34">
        <v>2.0333000000000001</v>
      </c>
      <c r="K39" s="34">
        <v>2.0333000000000001</v>
      </c>
      <c r="L39" s="34">
        <v>2.0333000000000001</v>
      </c>
      <c r="M39" s="34">
        <v>2.0333000000000001</v>
      </c>
    </row>
    <row r="40" spans="4:13" x14ac:dyDescent="0.2">
      <c r="D40" s="69"/>
      <c r="E40" s="34" t="s">
        <v>79</v>
      </c>
      <c r="F40" s="14">
        <v>-0.96430000000000005</v>
      </c>
      <c r="G40" s="34">
        <v>-0.96430000000000005</v>
      </c>
      <c r="H40" s="34">
        <v>-0.96430000000000005</v>
      </c>
      <c r="I40" s="34">
        <v>-0.96430000000000005</v>
      </c>
      <c r="J40" s="34">
        <v>-0.96430000000000005</v>
      </c>
      <c r="K40" s="34">
        <v>-0.96430000000000005</v>
      </c>
      <c r="L40" s="34">
        <v>-0.96430000000000005</v>
      </c>
      <c r="M40" s="34">
        <v>-0.96430000000000005</v>
      </c>
    </row>
    <row r="41" spans="4:13" x14ac:dyDescent="0.2">
      <c r="D41" s="69"/>
      <c r="E41" s="34" t="s">
        <v>80</v>
      </c>
      <c r="F41" s="14">
        <v>1.1998</v>
      </c>
      <c r="G41" s="34">
        <v>1.1998</v>
      </c>
      <c r="H41" s="34">
        <v>1.1998</v>
      </c>
      <c r="I41" s="34">
        <v>1.1998</v>
      </c>
      <c r="J41" s="34">
        <v>1.1998</v>
      </c>
      <c r="K41" s="34">
        <v>1.1998</v>
      </c>
      <c r="L41" s="34">
        <v>1.1998</v>
      </c>
      <c r="M41" s="34">
        <v>1.1998</v>
      </c>
    </row>
    <row r="42" spans="4:13" ht="15.75" customHeight="1" x14ac:dyDescent="0.2">
      <c r="D42" s="69" t="s">
        <v>82</v>
      </c>
      <c r="E42" s="34" t="s">
        <v>13</v>
      </c>
      <c r="F42" s="14">
        <v>4.2000000000000003E-2</v>
      </c>
      <c r="G42" s="34">
        <v>4.2000000000000003E-2</v>
      </c>
      <c r="H42" s="34">
        <v>4.2999999999999997E-2</v>
      </c>
      <c r="I42" s="34">
        <v>4.2999999999999997E-2</v>
      </c>
      <c r="J42" s="34">
        <v>4.2999999999999997E-2</v>
      </c>
      <c r="K42" s="34">
        <v>4.3999999999999997E-2</v>
      </c>
      <c r="L42" s="34">
        <v>4.3999999999999997E-2</v>
      </c>
      <c r="M42" s="34">
        <v>4.3999999999999997E-2</v>
      </c>
    </row>
    <row r="43" spans="4:13" x14ac:dyDescent="0.2">
      <c r="D43" s="69"/>
      <c r="E43" s="34" t="s">
        <v>59</v>
      </c>
      <c r="F43" s="14">
        <v>0.25</v>
      </c>
      <c r="G43" s="34">
        <v>0.3</v>
      </c>
      <c r="H43" s="34">
        <v>0.28999999999999998</v>
      </c>
      <c r="I43" s="34">
        <v>0.26</v>
      </c>
      <c r="J43" s="34">
        <v>0.31</v>
      </c>
      <c r="K43" s="34">
        <v>0.28999999999999998</v>
      </c>
      <c r="L43" s="34">
        <v>0.33</v>
      </c>
      <c r="M43" s="34">
        <v>0.32</v>
      </c>
    </row>
    <row r="44" spans="4:13" x14ac:dyDescent="0.2">
      <c r="D44" s="69"/>
      <c r="E44" s="34" t="s">
        <v>67</v>
      </c>
      <c r="F44" s="14">
        <v>210.26</v>
      </c>
      <c r="G44" s="34">
        <v>194.43</v>
      </c>
      <c r="H44" s="34">
        <v>186.45</v>
      </c>
      <c r="I44" s="34">
        <v>197.41</v>
      </c>
      <c r="J44" s="34">
        <v>231.43</v>
      </c>
      <c r="K44" s="34">
        <v>262.13</v>
      </c>
      <c r="L44" s="34">
        <v>291.14</v>
      </c>
      <c r="M44" s="34">
        <v>305.88</v>
      </c>
    </row>
    <row r="45" spans="4:13" x14ac:dyDescent="0.2">
      <c r="D45" s="69"/>
      <c r="E45" s="34" t="s">
        <v>68</v>
      </c>
      <c r="F45" s="14">
        <v>10.45</v>
      </c>
      <c r="G45" s="34">
        <v>11.14</v>
      </c>
      <c r="H45" s="34">
        <v>10.39</v>
      </c>
      <c r="I45" s="34">
        <v>9.2799999999999994</v>
      </c>
      <c r="J45" s="34">
        <v>12.03</v>
      </c>
      <c r="K45" s="34">
        <v>12.49</v>
      </c>
      <c r="L45" s="34">
        <v>11.68</v>
      </c>
      <c r="M45" s="34">
        <v>10.78</v>
      </c>
    </row>
    <row r="46" spans="4:13" x14ac:dyDescent="0.2">
      <c r="D46" s="69"/>
      <c r="E46" s="34" t="s">
        <v>69</v>
      </c>
      <c r="F46" s="14">
        <v>2.9</v>
      </c>
      <c r="G46" s="34">
        <v>3</v>
      </c>
      <c r="H46" s="34">
        <v>3.1</v>
      </c>
      <c r="I46" s="34">
        <v>3.3</v>
      </c>
      <c r="J46" s="34">
        <v>3.5</v>
      </c>
      <c r="K46" s="34">
        <v>3.4</v>
      </c>
      <c r="L46" s="34">
        <v>3.2</v>
      </c>
      <c r="M46" s="34">
        <v>3</v>
      </c>
    </row>
    <row r="47" spans="4:13" x14ac:dyDescent="0.2">
      <c r="D47" s="69"/>
      <c r="E47" s="34" t="s">
        <v>83</v>
      </c>
      <c r="F47" s="14">
        <v>0.1</v>
      </c>
      <c r="G47" s="34">
        <v>0.1</v>
      </c>
      <c r="H47" s="34">
        <v>0.1</v>
      </c>
      <c r="I47" s="34">
        <v>0.1</v>
      </c>
      <c r="J47" s="34">
        <v>0.1</v>
      </c>
      <c r="K47" s="34">
        <v>0.1</v>
      </c>
      <c r="L47" s="34">
        <v>0.1</v>
      </c>
      <c r="M47" s="34">
        <v>0.1</v>
      </c>
    </row>
    <row r="48" spans="4:13" x14ac:dyDescent="0.2">
      <c r="D48" s="69"/>
      <c r="E48" s="34" t="s">
        <v>84</v>
      </c>
      <c r="F48" s="14">
        <f>0.033/50</f>
        <v>6.6E-4</v>
      </c>
      <c r="G48" s="34">
        <f t="shared" ref="G48:M48" si="11">0.033/50</f>
        <v>6.6E-4</v>
      </c>
      <c r="H48" s="34">
        <f t="shared" si="11"/>
        <v>6.6E-4</v>
      </c>
      <c r="I48" s="34">
        <f t="shared" si="11"/>
        <v>6.6E-4</v>
      </c>
      <c r="J48" s="34">
        <f t="shared" si="11"/>
        <v>6.6E-4</v>
      </c>
      <c r="K48" s="34">
        <f t="shared" si="11"/>
        <v>6.6E-4</v>
      </c>
      <c r="L48" s="34">
        <f t="shared" si="11"/>
        <v>6.6E-4</v>
      </c>
      <c r="M48" s="34">
        <f t="shared" si="11"/>
        <v>6.6E-4</v>
      </c>
    </row>
    <row r="49" spans="4:14" x14ac:dyDescent="0.2">
      <c r="D49" s="69"/>
      <c r="E49" s="1" t="s">
        <v>16</v>
      </c>
      <c r="F49" s="14">
        <v>14.2</v>
      </c>
      <c r="G49" s="34">
        <v>11.5</v>
      </c>
      <c r="H49" s="34">
        <v>10.6</v>
      </c>
      <c r="I49" s="34">
        <v>13.6</v>
      </c>
      <c r="J49" s="34">
        <v>11</v>
      </c>
      <c r="K49" s="34">
        <v>12.3</v>
      </c>
      <c r="L49" s="34">
        <v>12.9</v>
      </c>
      <c r="M49" s="34">
        <v>14.7</v>
      </c>
    </row>
    <row r="50" spans="4:14" ht="15.75" customHeight="1" x14ac:dyDescent="0.2">
      <c r="D50" s="70" t="s">
        <v>96</v>
      </c>
      <c r="E50" s="47" t="s">
        <v>170</v>
      </c>
      <c r="F50" s="14">
        <v>3464000</v>
      </c>
      <c r="G50" s="14">
        <v>3464000</v>
      </c>
      <c r="H50" s="14">
        <v>3464000</v>
      </c>
      <c r="I50" s="14">
        <v>3464000</v>
      </c>
      <c r="J50" s="14">
        <v>3464000</v>
      </c>
      <c r="K50" s="14">
        <v>3464000</v>
      </c>
      <c r="L50" s="14">
        <v>3464000</v>
      </c>
      <c r="M50" s="14">
        <v>3464000</v>
      </c>
    </row>
    <row r="51" spans="4:14" ht="18.75" x14ac:dyDescent="0.2">
      <c r="D51" s="70"/>
      <c r="E51" s="47" t="s">
        <v>207</v>
      </c>
      <c r="F51" s="21">
        <v>-4.3003829210000002E-5</v>
      </c>
      <c r="G51" s="21">
        <v>-4.3003829210000002E-5</v>
      </c>
      <c r="H51" s="21">
        <v>-4.3003829210000002E-5</v>
      </c>
      <c r="I51" s="21">
        <v>-4.3003829210000002E-5</v>
      </c>
      <c r="J51" s="21">
        <v>-4.3003829210000002E-5</v>
      </c>
      <c r="K51" s="21">
        <v>-4.3003829210000002E-5</v>
      </c>
      <c r="L51" s="21">
        <v>-4.3003829210000002E-5</v>
      </c>
      <c r="M51" s="21">
        <v>-4.3003829210000002E-5</v>
      </c>
    </row>
    <row r="52" spans="4:14" ht="18.75" x14ac:dyDescent="0.2">
      <c r="D52" s="70"/>
      <c r="E52" s="47" t="s">
        <v>208</v>
      </c>
      <c r="F52" s="20">
        <v>3.2490745158999997E-5</v>
      </c>
      <c r="G52" s="20">
        <v>3.2490745158999997E-5</v>
      </c>
      <c r="H52" s="20">
        <v>3.2490745158999997E-5</v>
      </c>
      <c r="I52" s="20">
        <v>3.2490745158999997E-5</v>
      </c>
      <c r="J52" s="20">
        <v>3.2490745158999997E-5</v>
      </c>
      <c r="K52" s="20">
        <v>3.2490745158999997E-5</v>
      </c>
      <c r="L52" s="20">
        <v>3.2490745158999997E-5</v>
      </c>
      <c r="M52" s="20">
        <v>3.2490745158999997E-5</v>
      </c>
      <c r="N52" s="21"/>
    </row>
    <row r="53" spans="4:14" ht="15.75" customHeight="1" x14ac:dyDescent="0.2">
      <c r="D53" s="70"/>
      <c r="E53" s="1" t="s">
        <v>95</v>
      </c>
      <c r="F53" s="14">
        <v>1.79</v>
      </c>
      <c r="G53" s="34">
        <v>1.86</v>
      </c>
      <c r="H53" s="34">
        <v>1.88</v>
      </c>
      <c r="I53" s="34">
        <v>1.91</v>
      </c>
      <c r="J53" s="14">
        <v>2.48</v>
      </c>
      <c r="K53" s="50">
        <v>2.52</v>
      </c>
      <c r="L53" s="50">
        <v>2.46</v>
      </c>
      <c r="M53" s="50">
        <v>2.5499999999999998</v>
      </c>
      <c r="N53" s="42"/>
    </row>
    <row r="54" spans="4:14" ht="15.75" customHeight="1" x14ac:dyDescent="0.2">
      <c r="D54" s="66" t="s">
        <v>234</v>
      </c>
      <c r="E54" s="34" t="s">
        <v>171</v>
      </c>
      <c r="F54" s="14">
        <f>(F3-F4)/F7</f>
        <v>26.666666666666668</v>
      </c>
      <c r="G54" s="14">
        <f t="shared" ref="F54:M56" si="12">(G3-G4)/G7</f>
        <v>26.666666666666668</v>
      </c>
      <c r="H54" s="14">
        <f t="shared" si="12"/>
        <v>26.666666666666668</v>
      </c>
      <c r="I54" s="14">
        <f t="shared" si="12"/>
        <v>26.666666666666668</v>
      </c>
      <c r="J54" s="14">
        <f t="shared" si="12"/>
        <v>26.666666666666668</v>
      </c>
      <c r="K54" s="14">
        <f t="shared" si="12"/>
        <v>26.666666666666668</v>
      </c>
      <c r="L54" s="14">
        <f t="shared" si="12"/>
        <v>26.666666666666668</v>
      </c>
      <c r="M54" s="14">
        <f t="shared" si="12"/>
        <v>26.666666666666668</v>
      </c>
    </row>
    <row r="55" spans="4:14" x14ac:dyDescent="0.2">
      <c r="D55" s="66"/>
      <c r="E55" s="34" t="s">
        <v>172</v>
      </c>
      <c r="F55" s="14">
        <f t="shared" si="12"/>
        <v>15</v>
      </c>
      <c r="G55" s="14">
        <f t="shared" si="12"/>
        <v>15</v>
      </c>
      <c r="H55" s="14">
        <f t="shared" si="12"/>
        <v>15</v>
      </c>
      <c r="I55" s="14">
        <f t="shared" si="12"/>
        <v>15</v>
      </c>
      <c r="J55" s="14">
        <f t="shared" si="12"/>
        <v>15</v>
      </c>
      <c r="K55" s="14">
        <f t="shared" si="12"/>
        <v>15</v>
      </c>
      <c r="L55" s="14">
        <f t="shared" si="12"/>
        <v>15</v>
      </c>
      <c r="M55" s="14">
        <f t="shared" si="12"/>
        <v>15</v>
      </c>
    </row>
    <row r="56" spans="4:14" x14ac:dyDescent="0.2">
      <c r="D56" s="66"/>
      <c r="E56" s="34" t="s">
        <v>173</v>
      </c>
      <c r="F56" s="14">
        <f t="shared" si="12"/>
        <v>30</v>
      </c>
      <c r="G56" s="14">
        <f t="shared" si="12"/>
        <v>30</v>
      </c>
      <c r="H56" s="14">
        <f t="shared" si="12"/>
        <v>30</v>
      </c>
      <c r="I56" s="14">
        <f t="shared" si="12"/>
        <v>30</v>
      </c>
      <c r="J56" s="14">
        <f t="shared" si="12"/>
        <v>30</v>
      </c>
      <c r="K56" s="14">
        <f t="shared" si="12"/>
        <v>30</v>
      </c>
      <c r="L56" s="14">
        <f t="shared" si="12"/>
        <v>30</v>
      </c>
      <c r="M56" s="14">
        <f t="shared" si="12"/>
        <v>30</v>
      </c>
    </row>
    <row r="57" spans="4:14" x14ac:dyDescent="0.2">
      <c r="D57" s="66"/>
      <c r="E57" s="60" t="s">
        <v>235</v>
      </c>
      <c r="F57" s="14">
        <f>F5-(60-F55-F54)*F9</f>
        <v>71.666666666666671</v>
      </c>
      <c r="G57" s="14">
        <f t="shared" ref="G57:M57" si="13">G5-(60-G55-G54)*G9</f>
        <v>71.666666666666671</v>
      </c>
      <c r="H57" s="14">
        <f t="shared" si="13"/>
        <v>71.666666666666671</v>
      </c>
      <c r="I57" s="14">
        <f t="shared" si="13"/>
        <v>71.666666666666671</v>
      </c>
      <c r="J57" s="14">
        <f t="shared" si="13"/>
        <v>107.5</v>
      </c>
      <c r="K57" s="14">
        <f t="shared" si="13"/>
        <v>107.5</v>
      </c>
      <c r="L57" s="14">
        <f t="shared" si="13"/>
        <v>107.5</v>
      </c>
      <c r="M57" s="14">
        <f t="shared" si="13"/>
        <v>107.5</v>
      </c>
    </row>
    <row r="58" spans="4:14" x14ac:dyDescent="0.25">
      <c r="D58" s="61"/>
    </row>
    <row r="59" spans="4:14" x14ac:dyDescent="0.25">
      <c r="D59" s="61"/>
      <c r="E59" s="32" t="s">
        <v>174</v>
      </c>
      <c r="F59" s="32" t="s">
        <v>175</v>
      </c>
    </row>
    <row r="60" spans="4:14" x14ac:dyDescent="0.25">
      <c r="D60" s="12"/>
      <c r="E60" s="36" t="s">
        <v>202</v>
      </c>
      <c r="F60" s="43" t="s">
        <v>201</v>
      </c>
    </row>
    <row r="61" spans="4:14" x14ac:dyDescent="0.25">
      <c r="D61" s="12"/>
      <c r="F61" s="43" t="s">
        <v>144</v>
      </c>
    </row>
    <row r="62" spans="4:14" x14ac:dyDescent="0.25">
      <c r="D62" s="12"/>
      <c r="E62" s="34" t="s">
        <v>63</v>
      </c>
      <c r="F62" s="12" t="s">
        <v>144</v>
      </c>
    </row>
    <row r="63" spans="4:14" x14ac:dyDescent="0.25">
      <c r="D63" s="12"/>
      <c r="E63" s="34" t="s">
        <v>110</v>
      </c>
      <c r="F63" s="12" t="s">
        <v>176</v>
      </c>
    </row>
    <row r="64" spans="4:14" x14ac:dyDescent="0.25">
      <c r="D64" s="12"/>
      <c r="F64" s="12" t="s">
        <v>203</v>
      </c>
    </row>
    <row r="65" spans="4:6" x14ac:dyDescent="0.25">
      <c r="D65" s="12"/>
      <c r="E65" s="34" t="s">
        <v>177</v>
      </c>
      <c r="F65" s="12" t="s">
        <v>144</v>
      </c>
    </row>
    <row r="66" spans="4:6" x14ac:dyDescent="0.25">
      <c r="D66" s="12"/>
      <c r="E66" s="34" t="s">
        <v>178</v>
      </c>
      <c r="F66" s="12" t="s">
        <v>179</v>
      </c>
    </row>
    <row r="67" spans="4:6" x14ac:dyDescent="0.25">
      <c r="D67" s="12"/>
      <c r="E67" s="34" t="s">
        <v>180</v>
      </c>
      <c r="F67" s="12" t="s">
        <v>179</v>
      </c>
    </row>
    <row r="68" spans="4:6" x14ac:dyDescent="0.25">
      <c r="D68" s="12"/>
      <c r="E68" s="34" t="s">
        <v>181</v>
      </c>
      <c r="F68" s="12" t="s">
        <v>204</v>
      </c>
    </row>
    <row r="69" spans="4:6" x14ac:dyDescent="0.25">
      <c r="D69" s="12"/>
      <c r="E69" s="36" t="s">
        <v>206</v>
      </c>
      <c r="F69" s="12" t="s">
        <v>194</v>
      </c>
    </row>
    <row r="70" spans="4:6" x14ac:dyDescent="0.25">
      <c r="D70" s="12"/>
      <c r="F70" s="43" t="s">
        <v>193</v>
      </c>
    </row>
    <row r="71" spans="4:6" x14ac:dyDescent="0.25">
      <c r="D71" s="12"/>
      <c r="F71" s="12" t="s">
        <v>184</v>
      </c>
    </row>
    <row r="72" spans="4:6" x14ac:dyDescent="0.25">
      <c r="D72" s="12"/>
      <c r="E72" s="34" t="s">
        <v>183</v>
      </c>
      <c r="F72" s="43" t="s">
        <v>193</v>
      </c>
    </row>
    <row r="73" spans="4:6" x14ac:dyDescent="0.25">
      <c r="D73" s="12"/>
      <c r="F73" s="12" t="s">
        <v>184</v>
      </c>
    </row>
  </sheetData>
  <mergeCells count="17">
    <mergeCell ref="A1:B1"/>
    <mergeCell ref="D50:D53"/>
    <mergeCell ref="D29:D30"/>
    <mergeCell ref="D31:D35"/>
    <mergeCell ref="D36:D41"/>
    <mergeCell ref="D42:D49"/>
    <mergeCell ref="D15:D20"/>
    <mergeCell ref="D26:D28"/>
    <mergeCell ref="D21:D25"/>
    <mergeCell ref="D54:D57"/>
    <mergeCell ref="O1:Q1"/>
    <mergeCell ref="D1:M1"/>
    <mergeCell ref="D7:D9"/>
    <mergeCell ref="D10:D12"/>
    <mergeCell ref="D13:D14"/>
    <mergeCell ref="D3:D6"/>
    <mergeCell ref="D2:E2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6F77-F83E-483F-8685-6472DFEC3831}">
  <dimension ref="A1:G16"/>
  <sheetViews>
    <sheetView workbookViewId="0"/>
  </sheetViews>
  <sheetFormatPr defaultColWidth="8.875" defaultRowHeight="15.75" x14ac:dyDescent="0.2"/>
  <cols>
    <col min="1" max="1" width="18.625" style="34" bestFit="1" customWidth="1"/>
    <col min="2" max="2" width="20.25" style="34" bestFit="1" customWidth="1"/>
    <col min="3" max="3" width="12.875" style="34" bestFit="1" customWidth="1"/>
    <col min="4" max="4" width="8.875" style="34"/>
    <col min="5" max="6" width="14.5" style="34" bestFit="1" customWidth="1"/>
    <col min="7" max="16384" width="8.875" style="34"/>
  </cols>
  <sheetData>
    <row r="1" spans="1:7" x14ac:dyDescent="0.2">
      <c r="A1" s="36" t="s">
        <v>196</v>
      </c>
      <c r="B1" s="34" t="s">
        <v>190</v>
      </c>
      <c r="C1" s="34" t="s">
        <v>182</v>
      </c>
      <c r="E1" s="44" t="s">
        <v>189</v>
      </c>
    </row>
    <row r="2" spans="1:7" x14ac:dyDescent="0.2">
      <c r="A2" s="34">
        <v>0.45</v>
      </c>
      <c r="B2" s="34">
        <v>76900</v>
      </c>
      <c r="C2" s="41">
        <f>1/B2</f>
        <v>1.3003901170351106E-5</v>
      </c>
      <c r="E2" s="22" t="s">
        <v>205</v>
      </c>
    </row>
    <row r="3" spans="1:7" x14ac:dyDescent="0.2">
      <c r="A3" s="34">
        <v>0.4</v>
      </c>
      <c r="B3" s="34">
        <v>62500</v>
      </c>
      <c r="C3" s="41">
        <f t="shared" ref="C3:C7" si="0">1/B3</f>
        <v>1.5999999999999999E-5</v>
      </c>
      <c r="E3" s="38" t="s">
        <v>145</v>
      </c>
    </row>
    <row r="4" spans="1:7" x14ac:dyDescent="0.2">
      <c r="A4" s="34">
        <v>0.35</v>
      </c>
      <c r="B4" s="34">
        <v>58800</v>
      </c>
      <c r="C4" s="41">
        <f t="shared" si="0"/>
        <v>1.7006802721088435E-5</v>
      </c>
    </row>
    <row r="5" spans="1:7" x14ac:dyDescent="0.2">
      <c r="A5" s="34">
        <v>0.3</v>
      </c>
      <c r="B5" s="34">
        <v>52600</v>
      </c>
      <c r="C5" s="41">
        <f t="shared" si="0"/>
        <v>1.9011406844106464E-5</v>
      </c>
    </row>
    <row r="6" spans="1:7" x14ac:dyDescent="0.2">
      <c r="A6" s="34">
        <v>0.25</v>
      </c>
      <c r="B6" s="34">
        <v>45400</v>
      </c>
      <c r="C6" s="41">
        <f t="shared" si="0"/>
        <v>2.2026431718061676E-5</v>
      </c>
    </row>
    <row r="7" spans="1:7" x14ac:dyDescent="0.2">
      <c r="A7" s="34">
        <v>0.2</v>
      </c>
      <c r="B7" s="34">
        <v>41600</v>
      </c>
      <c r="C7" s="41">
        <f t="shared" si="0"/>
        <v>2.4038461538461538E-5</v>
      </c>
    </row>
    <row r="9" spans="1:7" x14ac:dyDescent="0.2">
      <c r="A9" s="36" t="s">
        <v>196</v>
      </c>
      <c r="B9" s="36" t="s">
        <v>188</v>
      </c>
      <c r="E9" s="44" t="s">
        <v>189</v>
      </c>
    </row>
    <row r="10" spans="1:7" x14ac:dyDescent="0.2">
      <c r="A10" s="34">
        <v>0.5</v>
      </c>
      <c r="B10" s="46">
        <v>1.0000000000000001E-5</v>
      </c>
      <c r="E10" s="22" t="s">
        <v>197</v>
      </c>
    </row>
    <row r="11" spans="1:7" x14ac:dyDescent="0.2">
      <c r="A11" s="34">
        <v>0.45</v>
      </c>
      <c r="B11" s="46">
        <v>1.2999999999999999E-5</v>
      </c>
    </row>
    <row r="12" spans="1:7" x14ac:dyDescent="0.2">
      <c r="A12" s="34">
        <v>0.4</v>
      </c>
      <c r="B12" s="46">
        <v>1.5999999999999999E-5</v>
      </c>
    </row>
    <row r="13" spans="1:7" x14ac:dyDescent="0.2">
      <c r="A13" s="34">
        <v>0.35</v>
      </c>
      <c r="B13" s="46">
        <v>1.7E-5</v>
      </c>
      <c r="E13"/>
      <c r="F13"/>
    </row>
    <row r="14" spans="1:7" x14ac:dyDescent="0.2">
      <c r="A14" s="34">
        <v>0.3</v>
      </c>
      <c r="B14" s="46">
        <v>1.9000000000000001E-5</v>
      </c>
      <c r="E14" s="40"/>
      <c r="F14"/>
      <c r="G14"/>
    </row>
    <row r="15" spans="1:7" x14ac:dyDescent="0.2">
      <c r="A15" s="34">
        <v>0.25</v>
      </c>
      <c r="B15" s="46">
        <v>2.1999999999999999E-5</v>
      </c>
      <c r="F15" s="40"/>
    </row>
    <row r="16" spans="1:7" x14ac:dyDescent="0.2">
      <c r="A16" s="34">
        <v>0.2</v>
      </c>
      <c r="B16" s="46">
        <v>2.4000000000000001E-5</v>
      </c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78EA-FFEB-4B5B-9F5D-629EB8038D12}">
  <dimension ref="A1:H9"/>
  <sheetViews>
    <sheetView workbookViewId="0">
      <selection sqref="A1:C1"/>
    </sheetView>
  </sheetViews>
  <sheetFormatPr defaultColWidth="8.875" defaultRowHeight="15.75" x14ac:dyDescent="0.2"/>
  <cols>
    <col min="1" max="1" width="11.125" style="17" bestFit="1" customWidth="1"/>
    <col min="2" max="2" width="22.125" style="17" bestFit="1" customWidth="1"/>
    <col min="3" max="3" width="15.375" style="17" bestFit="1" customWidth="1"/>
    <col min="4" max="4" width="11.125" style="17" bestFit="1" customWidth="1"/>
    <col min="5" max="5" width="22.125" style="17" bestFit="1" customWidth="1"/>
    <col min="6" max="6" width="15.375" style="17" bestFit="1" customWidth="1"/>
    <col min="7" max="16384" width="8.875" style="17"/>
  </cols>
  <sheetData>
    <row r="1" spans="1:8" x14ac:dyDescent="0.2">
      <c r="A1" s="69" t="s">
        <v>99</v>
      </c>
      <c r="B1" s="69"/>
      <c r="C1" s="69"/>
      <c r="D1" s="69" t="s">
        <v>103</v>
      </c>
      <c r="E1" s="69"/>
    </row>
    <row r="2" spans="1:8" x14ac:dyDescent="0.2">
      <c r="A2" s="18" t="s">
        <v>109</v>
      </c>
      <c r="B2" s="17" t="s">
        <v>104</v>
      </c>
      <c r="C2" s="17" t="s">
        <v>105</v>
      </c>
      <c r="D2" s="18" t="s">
        <v>109</v>
      </c>
      <c r="E2" s="17" t="s">
        <v>104</v>
      </c>
      <c r="F2" s="17" t="s">
        <v>105</v>
      </c>
    </row>
    <row r="3" spans="1:8" x14ac:dyDescent="0.2">
      <c r="A3" s="17">
        <v>105</v>
      </c>
      <c r="B3" s="17">
        <v>0.85570000000000002</v>
      </c>
      <c r="C3" s="17">
        <f>B3*A3</f>
        <v>89.848500000000001</v>
      </c>
      <c r="D3" s="17">
        <v>70</v>
      </c>
      <c r="E3" s="17">
        <v>0.92510000000000003</v>
      </c>
      <c r="F3" s="17">
        <f>E3*D3</f>
        <v>64.757000000000005</v>
      </c>
      <c r="H3" s="22" t="s">
        <v>108</v>
      </c>
    </row>
    <row r="4" spans="1:8" x14ac:dyDescent="0.2">
      <c r="A4" s="17">
        <v>135</v>
      </c>
      <c r="B4" s="17">
        <v>0.82130000000000003</v>
      </c>
      <c r="C4" s="17">
        <f t="shared" ref="C4:C8" si="0">B4*A4</f>
        <v>110.8755</v>
      </c>
      <c r="D4" s="17">
        <v>90</v>
      </c>
      <c r="E4" s="17">
        <v>0.8881</v>
      </c>
      <c r="F4" s="17">
        <f t="shared" ref="F4:F9" si="1">E4*D4</f>
        <v>79.929000000000002</v>
      </c>
    </row>
    <row r="5" spans="1:8" x14ac:dyDescent="0.2">
      <c r="A5" s="17">
        <v>165</v>
      </c>
      <c r="B5" s="17">
        <v>0.79449999999999998</v>
      </c>
      <c r="C5" s="17">
        <f t="shared" si="0"/>
        <v>131.0925</v>
      </c>
      <c r="D5" s="17">
        <v>110.00000000000001</v>
      </c>
      <c r="E5" s="17">
        <v>0.8569</v>
      </c>
      <c r="F5" s="17">
        <f t="shared" si="1"/>
        <v>94.259000000000015</v>
      </c>
    </row>
    <row r="6" spans="1:8" x14ac:dyDescent="0.2">
      <c r="A6" s="17">
        <v>195</v>
      </c>
      <c r="B6" s="17">
        <v>0.77539999999999998</v>
      </c>
      <c r="C6" s="17">
        <f t="shared" si="0"/>
        <v>151.203</v>
      </c>
      <c r="D6" s="17">
        <v>130</v>
      </c>
      <c r="E6" s="17">
        <v>0.83130000000000004</v>
      </c>
      <c r="F6" s="17">
        <f t="shared" si="1"/>
        <v>108.069</v>
      </c>
    </row>
    <row r="7" spans="1:8" x14ac:dyDescent="0.2">
      <c r="A7" s="17">
        <v>225</v>
      </c>
      <c r="B7" s="17">
        <v>0.7641</v>
      </c>
      <c r="C7" s="17">
        <f>B7*A7</f>
        <v>171.92250000000001</v>
      </c>
      <c r="D7" s="17">
        <v>150</v>
      </c>
      <c r="E7" s="17">
        <v>0.81159999999999999</v>
      </c>
      <c r="F7" s="17">
        <f t="shared" si="1"/>
        <v>121.74</v>
      </c>
    </row>
    <row r="8" spans="1:8" x14ac:dyDescent="0.2">
      <c r="A8" s="17">
        <v>255</v>
      </c>
      <c r="B8" s="17">
        <v>0.76039999999999996</v>
      </c>
      <c r="C8" s="17">
        <f t="shared" si="0"/>
        <v>193.90199999999999</v>
      </c>
      <c r="D8" s="17">
        <v>170</v>
      </c>
      <c r="E8" s="17">
        <v>0.79749999999999999</v>
      </c>
      <c r="F8" s="17">
        <f t="shared" si="1"/>
        <v>135.57499999999999</v>
      </c>
    </row>
    <row r="9" spans="1:8" x14ac:dyDescent="0.2">
      <c r="A9" s="17">
        <v>300</v>
      </c>
      <c r="B9" s="17">
        <v>0.76919999999999999</v>
      </c>
      <c r="C9" s="17">
        <f>B9*A9</f>
        <v>230.76</v>
      </c>
      <c r="D9" s="17">
        <v>200</v>
      </c>
      <c r="E9" s="17">
        <v>0.7873</v>
      </c>
      <c r="F9" s="17">
        <f t="shared" si="1"/>
        <v>157.46</v>
      </c>
    </row>
  </sheetData>
  <mergeCells count="2">
    <mergeCell ref="D1:E1"/>
    <mergeCell ref="A1:C1"/>
  </mergeCells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066B-2233-48B8-852E-5A45B64EF40A}">
  <dimension ref="A1:E19"/>
  <sheetViews>
    <sheetView workbookViewId="0"/>
  </sheetViews>
  <sheetFormatPr defaultColWidth="8.875" defaultRowHeight="15.75" x14ac:dyDescent="0.2"/>
  <cols>
    <col min="1" max="1" width="15.5" style="34" bestFit="1" customWidth="1"/>
    <col min="2" max="2" width="12.5" style="34" bestFit="1" customWidth="1"/>
    <col min="3" max="3" width="23" style="34" bestFit="1" customWidth="1"/>
    <col min="4" max="16384" width="8.875" style="34"/>
  </cols>
  <sheetData>
    <row r="1" spans="1:5" x14ac:dyDescent="0.2">
      <c r="A1" s="34" t="s">
        <v>198</v>
      </c>
      <c r="B1" s="34" t="s">
        <v>199</v>
      </c>
      <c r="C1" s="34" t="s">
        <v>200</v>
      </c>
      <c r="E1" s="44" t="s">
        <v>189</v>
      </c>
    </row>
    <row r="2" spans="1:5" x14ac:dyDescent="0.2">
      <c r="A2" s="34">
        <v>250</v>
      </c>
      <c r="B2" s="33">
        <v>1350000000</v>
      </c>
      <c r="C2" s="35">
        <f>B2/A2/1000</f>
        <v>5400</v>
      </c>
      <c r="E2" s="22" t="s">
        <v>193</v>
      </c>
    </row>
    <row r="3" spans="1:5" x14ac:dyDescent="0.2">
      <c r="A3" s="34">
        <v>576</v>
      </c>
      <c r="B3" s="33">
        <v>2610000000</v>
      </c>
      <c r="C3" s="35">
        <f t="shared" ref="C3:C11" si="0">B3/A3/1000</f>
        <v>4531.25</v>
      </c>
      <c r="E3" s="38" t="s">
        <v>145</v>
      </c>
    </row>
    <row r="4" spans="1:5" x14ac:dyDescent="0.2">
      <c r="A4" s="34">
        <v>650</v>
      </c>
      <c r="B4" s="33">
        <v>2710000000</v>
      </c>
      <c r="C4" s="35">
        <f t="shared" si="0"/>
        <v>4169.2307692307686</v>
      </c>
    </row>
    <row r="5" spans="1:5" x14ac:dyDescent="0.2">
      <c r="A5" s="34">
        <v>632</v>
      </c>
      <c r="B5" s="33">
        <v>2700000000</v>
      </c>
      <c r="C5" s="35">
        <f t="shared" si="0"/>
        <v>4272.1518987341778</v>
      </c>
    </row>
    <row r="6" spans="1:5" x14ac:dyDescent="0.2">
      <c r="A6" s="34">
        <v>508</v>
      </c>
      <c r="B6" s="33">
        <v>2730000000</v>
      </c>
      <c r="C6" s="35">
        <f t="shared" si="0"/>
        <v>5374.0157480314965</v>
      </c>
    </row>
    <row r="7" spans="1:5" x14ac:dyDescent="0.2">
      <c r="A7" s="34">
        <v>650</v>
      </c>
      <c r="B7" s="33">
        <v>2650000000</v>
      </c>
      <c r="C7" s="35">
        <f t="shared" si="0"/>
        <v>4076.9230769230771</v>
      </c>
    </row>
    <row r="8" spans="1:5" x14ac:dyDescent="0.2">
      <c r="A8" s="34">
        <v>560</v>
      </c>
      <c r="B8" s="33">
        <v>2550000000</v>
      </c>
      <c r="C8" s="35">
        <f t="shared" si="0"/>
        <v>4553.5714285714284</v>
      </c>
    </row>
    <row r="9" spans="1:5" x14ac:dyDescent="0.2">
      <c r="A9" s="34">
        <v>540</v>
      </c>
      <c r="B9" s="33">
        <v>2580000000</v>
      </c>
      <c r="C9" s="35">
        <f t="shared" si="0"/>
        <v>4777.7777777777783</v>
      </c>
    </row>
    <row r="10" spans="1:5" x14ac:dyDescent="0.2">
      <c r="A10" s="34">
        <v>830</v>
      </c>
      <c r="B10" s="33">
        <v>3280000000</v>
      </c>
      <c r="C10" s="35">
        <f t="shared" si="0"/>
        <v>3951.8072289156626</v>
      </c>
    </row>
    <row r="11" spans="1:5" x14ac:dyDescent="0.2">
      <c r="A11" s="34">
        <v>1000</v>
      </c>
      <c r="B11" s="33">
        <v>4760000000</v>
      </c>
      <c r="C11" s="35">
        <f t="shared" si="0"/>
        <v>4760</v>
      </c>
    </row>
    <row r="13" spans="1:5" x14ac:dyDescent="0.2">
      <c r="A13" s="34" t="s">
        <v>198</v>
      </c>
      <c r="B13" s="34" t="s">
        <v>199</v>
      </c>
      <c r="C13" s="34" t="s">
        <v>200</v>
      </c>
      <c r="E13" s="44" t="s">
        <v>189</v>
      </c>
    </row>
    <row r="14" spans="1:5" x14ac:dyDescent="0.2">
      <c r="A14" s="34">
        <v>300</v>
      </c>
      <c r="B14" s="33">
        <v>1320000000</v>
      </c>
      <c r="C14" s="35">
        <f>B14/A14/1000</f>
        <v>4400</v>
      </c>
      <c r="E14" s="22" t="s">
        <v>197</v>
      </c>
    </row>
    <row r="15" spans="1:5" x14ac:dyDescent="0.2">
      <c r="A15" s="34">
        <v>600</v>
      </c>
      <c r="B15" s="33">
        <v>2580000000</v>
      </c>
      <c r="C15" s="35">
        <f t="shared" ref="C15:C19" si="1">B15/A15/1000</f>
        <v>4300</v>
      </c>
    </row>
    <row r="16" spans="1:5" x14ac:dyDescent="0.2">
      <c r="A16" s="34">
        <v>300</v>
      </c>
      <c r="B16" s="33">
        <v>1350000000</v>
      </c>
      <c r="C16" s="35">
        <f t="shared" si="1"/>
        <v>4500</v>
      </c>
    </row>
    <row r="17" spans="1:3" x14ac:dyDescent="0.2">
      <c r="A17" s="34">
        <v>600</v>
      </c>
      <c r="B17" s="33">
        <v>2610000000</v>
      </c>
      <c r="C17" s="35">
        <f t="shared" si="1"/>
        <v>4350</v>
      </c>
    </row>
    <row r="18" spans="1:3" x14ac:dyDescent="0.2">
      <c r="A18" s="34">
        <v>800</v>
      </c>
      <c r="B18" s="33">
        <v>3080000000</v>
      </c>
      <c r="C18" s="35">
        <f t="shared" si="1"/>
        <v>3850</v>
      </c>
    </row>
    <row r="19" spans="1:3" x14ac:dyDescent="0.2">
      <c r="A19" s="34">
        <v>800</v>
      </c>
      <c r="B19" s="33">
        <v>3280000000</v>
      </c>
      <c r="C19" s="35">
        <f t="shared" si="1"/>
        <v>4100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4BC4-50FB-4D02-84DB-F1108393BBC4}">
  <dimension ref="A1:F143"/>
  <sheetViews>
    <sheetView workbookViewId="0">
      <selection activeCell="P24" sqref="P24"/>
    </sheetView>
  </sheetViews>
  <sheetFormatPr defaultColWidth="8.875" defaultRowHeight="15.75" x14ac:dyDescent="0.2"/>
  <cols>
    <col min="1" max="1" width="8.875" style="48"/>
    <col min="2" max="2" width="10.5" style="48" bestFit="1" customWidth="1"/>
    <col min="3" max="3" width="12.875" style="48" bestFit="1" customWidth="1"/>
    <col min="4" max="4" width="15.375" style="48" bestFit="1" customWidth="1"/>
    <col min="5" max="5" width="10.5" style="48" bestFit="1" customWidth="1"/>
    <col min="6" max="16384" width="8.875" style="48"/>
  </cols>
  <sheetData>
    <row r="1" spans="1:6" x14ac:dyDescent="0.2">
      <c r="A1" s="76" t="s">
        <v>209</v>
      </c>
      <c r="B1" s="77" t="s">
        <v>215</v>
      </c>
      <c r="C1" s="77"/>
      <c r="D1" s="77"/>
      <c r="E1" s="77"/>
      <c r="F1" s="77"/>
    </row>
    <row r="2" spans="1:6" x14ac:dyDescent="0.2">
      <c r="A2" s="76"/>
      <c r="B2" s="49" t="s">
        <v>210</v>
      </c>
      <c r="C2" s="49" t="s">
        <v>211</v>
      </c>
      <c r="D2" s="49" t="s">
        <v>212</v>
      </c>
      <c r="E2" s="49" t="s">
        <v>213</v>
      </c>
      <c r="F2" s="49" t="s">
        <v>214</v>
      </c>
    </row>
    <row r="3" spans="1:6" x14ac:dyDescent="0.2">
      <c r="A3" s="48">
        <v>200</v>
      </c>
      <c r="B3" s="48">
        <f>0.00601*A3^2+176.1*A3+2187.26</f>
        <v>37647.660000000003</v>
      </c>
      <c r="C3" s="48">
        <f>(A3*0.7067+15.943)*100</f>
        <v>15728.300000000001</v>
      </c>
      <c r="F3" s="48">
        <f>B3+C3+D3+E3</f>
        <v>53375.960000000006</v>
      </c>
    </row>
    <row r="4" spans="1:6" x14ac:dyDescent="0.2">
      <c r="A4" s="48">
        <v>199</v>
      </c>
      <c r="B4" s="53">
        <f t="shared" ref="B4:B67" si="0">0.00601*A4^2+176.1*A4+2187.26</f>
        <v>37469.16201</v>
      </c>
      <c r="C4" s="53">
        <f t="shared" ref="C4:C67" si="1">(A4*0.7067+15.943)*100</f>
        <v>15657.630000000001</v>
      </c>
      <c r="F4" s="52">
        <f t="shared" ref="F4:F67" si="2">B4+C4+D4+E4</f>
        <v>53126.792010000005</v>
      </c>
    </row>
    <row r="5" spans="1:6" x14ac:dyDescent="0.2">
      <c r="A5" s="48">
        <v>198</v>
      </c>
      <c r="B5" s="53">
        <f t="shared" si="0"/>
        <v>37290.676039999998</v>
      </c>
      <c r="C5" s="53">
        <f t="shared" si="1"/>
        <v>15586.960000000003</v>
      </c>
      <c r="F5" s="52">
        <f t="shared" si="2"/>
        <v>52877.636039999998</v>
      </c>
    </row>
    <row r="6" spans="1:6" x14ac:dyDescent="0.2">
      <c r="A6" s="48">
        <v>197</v>
      </c>
      <c r="B6" s="53">
        <f t="shared" si="0"/>
        <v>37112.202089999999</v>
      </c>
      <c r="C6" s="53">
        <f t="shared" si="1"/>
        <v>15516.29</v>
      </c>
      <c r="F6" s="52">
        <f t="shared" si="2"/>
        <v>52628.49209</v>
      </c>
    </row>
    <row r="7" spans="1:6" x14ac:dyDescent="0.2">
      <c r="A7" s="48">
        <v>196</v>
      </c>
      <c r="B7" s="53">
        <f t="shared" si="0"/>
        <v>36933.740160000001</v>
      </c>
      <c r="C7" s="53">
        <f t="shared" si="1"/>
        <v>15445.620000000003</v>
      </c>
      <c r="F7" s="52">
        <f t="shared" si="2"/>
        <v>52379.360160000004</v>
      </c>
    </row>
    <row r="8" spans="1:6" x14ac:dyDescent="0.2">
      <c r="A8" s="48">
        <v>195</v>
      </c>
      <c r="B8" s="53">
        <f t="shared" si="0"/>
        <v>36755.290250000005</v>
      </c>
      <c r="C8" s="53">
        <f t="shared" si="1"/>
        <v>15374.95</v>
      </c>
      <c r="F8" s="52">
        <f t="shared" si="2"/>
        <v>52130.240250000003</v>
      </c>
    </row>
    <row r="9" spans="1:6" x14ac:dyDescent="0.2">
      <c r="A9" s="48">
        <v>194</v>
      </c>
      <c r="B9" s="53">
        <f t="shared" si="0"/>
        <v>36576.852360000004</v>
      </c>
      <c r="C9" s="53">
        <f t="shared" si="1"/>
        <v>15304.28</v>
      </c>
      <c r="F9" s="52">
        <f t="shared" si="2"/>
        <v>51881.132360000003</v>
      </c>
    </row>
    <row r="10" spans="1:6" x14ac:dyDescent="0.2">
      <c r="A10" s="48">
        <v>193</v>
      </c>
      <c r="B10" s="53">
        <f t="shared" si="0"/>
        <v>36398.426489999998</v>
      </c>
      <c r="C10" s="53">
        <f t="shared" si="1"/>
        <v>15233.610000000002</v>
      </c>
      <c r="F10" s="52">
        <f t="shared" si="2"/>
        <v>51632.036489999999</v>
      </c>
    </row>
    <row r="11" spans="1:6" x14ac:dyDescent="0.2">
      <c r="A11" s="48">
        <v>192</v>
      </c>
      <c r="B11" s="53">
        <f t="shared" si="0"/>
        <v>36220.012640000001</v>
      </c>
      <c r="C11" s="53">
        <f t="shared" si="1"/>
        <v>15162.94</v>
      </c>
      <c r="F11" s="52">
        <f t="shared" si="2"/>
        <v>51382.952640000003</v>
      </c>
    </row>
    <row r="12" spans="1:6" x14ac:dyDescent="0.2">
      <c r="A12" s="48">
        <v>191</v>
      </c>
      <c r="B12" s="53">
        <f t="shared" si="0"/>
        <v>36041.610809999998</v>
      </c>
      <c r="C12" s="53">
        <f t="shared" si="1"/>
        <v>15092.270000000002</v>
      </c>
      <c r="F12" s="52">
        <f t="shared" si="2"/>
        <v>51133.880810000002</v>
      </c>
    </row>
    <row r="13" spans="1:6" x14ac:dyDescent="0.2">
      <c r="A13" s="48">
        <v>190</v>
      </c>
      <c r="B13" s="53">
        <f t="shared" si="0"/>
        <v>35863.221000000005</v>
      </c>
      <c r="C13" s="53">
        <f t="shared" si="1"/>
        <v>15021.6</v>
      </c>
      <c r="F13" s="52">
        <f t="shared" si="2"/>
        <v>50884.821000000004</v>
      </c>
    </row>
    <row r="14" spans="1:6" x14ac:dyDescent="0.2">
      <c r="A14" s="48">
        <v>189</v>
      </c>
      <c r="B14" s="53">
        <f t="shared" si="0"/>
        <v>35684.843210000006</v>
      </c>
      <c r="C14" s="53">
        <f t="shared" si="1"/>
        <v>14950.930000000002</v>
      </c>
      <c r="F14" s="52">
        <f t="shared" si="2"/>
        <v>50635.773210000007</v>
      </c>
    </row>
    <row r="15" spans="1:6" x14ac:dyDescent="0.2">
      <c r="A15" s="48">
        <v>188</v>
      </c>
      <c r="B15" s="53">
        <f t="shared" si="0"/>
        <v>35506.477439999995</v>
      </c>
      <c r="C15" s="53">
        <f t="shared" si="1"/>
        <v>14880.260000000002</v>
      </c>
      <c r="F15" s="52">
        <f t="shared" si="2"/>
        <v>50386.737439999997</v>
      </c>
    </row>
    <row r="16" spans="1:6" x14ac:dyDescent="0.2">
      <c r="A16" s="48">
        <v>187</v>
      </c>
      <c r="B16" s="53">
        <f t="shared" si="0"/>
        <v>35328.12369</v>
      </c>
      <c r="C16" s="53">
        <f t="shared" si="1"/>
        <v>14809.59</v>
      </c>
      <c r="F16" s="52">
        <f t="shared" si="2"/>
        <v>50137.713690000004</v>
      </c>
    </row>
    <row r="17" spans="1:6" x14ac:dyDescent="0.2">
      <c r="A17" s="48">
        <v>186</v>
      </c>
      <c r="B17" s="53">
        <f t="shared" si="0"/>
        <v>35149.78196</v>
      </c>
      <c r="C17" s="53">
        <f t="shared" si="1"/>
        <v>14738.920000000002</v>
      </c>
      <c r="F17" s="52">
        <f t="shared" si="2"/>
        <v>49888.701960000006</v>
      </c>
    </row>
    <row r="18" spans="1:6" x14ac:dyDescent="0.2">
      <c r="A18" s="48">
        <v>185</v>
      </c>
      <c r="B18" s="53">
        <f t="shared" si="0"/>
        <v>34971.452250000002</v>
      </c>
      <c r="C18" s="53">
        <f t="shared" si="1"/>
        <v>14668.25</v>
      </c>
      <c r="F18" s="52">
        <f t="shared" si="2"/>
        <v>49639.702250000002</v>
      </c>
    </row>
    <row r="19" spans="1:6" x14ac:dyDescent="0.2">
      <c r="A19" s="48">
        <v>184</v>
      </c>
      <c r="B19" s="53">
        <f t="shared" si="0"/>
        <v>34793.134559999999</v>
      </c>
      <c r="C19" s="53">
        <f t="shared" si="1"/>
        <v>14597.580000000002</v>
      </c>
      <c r="F19" s="52">
        <f t="shared" si="2"/>
        <v>49390.71456</v>
      </c>
    </row>
    <row r="20" spans="1:6" x14ac:dyDescent="0.2">
      <c r="A20" s="48">
        <v>183</v>
      </c>
      <c r="B20" s="53">
        <f t="shared" si="0"/>
        <v>34614.828889999997</v>
      </c>
      <c r="C20" s="53">
        <f t="shared" si="1"/>
        <v>14526.910000000002</v>
      </c>
      <c r="F20" s="52">
        <f t="shared" si="2"/>
        <v>49141.738890000001</v>
      </c>
    </row>
    <row r="21" spans="1:6" x14ac:dyDescent="0.2">
      <c r="A21" s="48">
        <v>182</v>
      </c>
      <c r="B21" s="53">
        <f t="shared" si="0"/>
        <v>34436.535239999997</v>
      </c>
      <c r="C21" s="53">
        <f t="shared" si="1"/>
        <v>14456.240000000002</v>
      </c>
      <c r="F21" s="52">
        <f t="shared" si="2"/>
        <v>48892.775240000003</v>
      </c>
    </row>
    <row r="22" spans="1:6" x14ac:dyDescent="0.2">
      <c r="A22" s="48">
        <v>181</v>
      </c>
      <c r="B22" s="53">
        <f t="shared" si="0"/>
        <v>34258.25361</v>
      </c>
      <c r="C22" s="53">
        <f t="shared" si="1"/>
        <v>14385.570000000002</v>
      </c>
      <c r="F22" s="52">
        <f t="shared" si="2"/>
        <v>48643.823609999999</v>
      </c>
    </row>
    <row r="23" spans="1:6" x14ac:dyDescent="0.2">
      <c r="A23" s="48">
        <v>180</v>
      </c>
      <c r="B23" s="53">
        <f t="shared" si="0"/>
        <v>34079.983999999997</v>
      </c>
      <c r="C23" s="53">
        <f t="shared" si="1"/>
        <v>14314.9</v>
      </c>
      <c r="F23" s="52">
        <f t="shared" si="2"/>
        <v>48394.883999999998</v>
      </c>
    </row>
    <row r="24" spans="1:6" x14ac:dyDescent="0.2">
      <c r="A24" s="48">
        <v>179</v>
      </c>
      <c r="B24" s="53">
        <f t="shared" si="0"/>
        <v>33901.726409999996</v>
      </c>
      <c r="C24" s="53">
        <f t="shared" si="1"/>
        <v>14244.230000000001</v>
      </c>
      <c r="F24" s="52">
        <f t="shared" si="2"/>
        <v>48145.956409999999</v>
      </c>
    </row>
    <row r="25" spans="1:6" x14ac:dyDescent="0.2">
      <c r="A25" s="48">
        <v>178</v>
      </c>
      <c r="B25" s="53">
        <f t="shared" si="0"/>
        <v>33723.480839999997</v>
      </c>
      <c r="C25" s="53">
        <f t="shared" si="1"/>
        <v>14173.560000000001</v>
      </c>
      <c r="F25" s="52">
        <f t="shared" si="2"/>
        <v>47897.040840000001</v>
      </c>
    </row>
    <row r="26" spans="1:6" x14ac:dyDescent="0.2">
      <c r="A26" s="48">
        <v>177</v>
      </c>
      <c r="B26" s="53">
        <f t="shared" si="0"/>
        <v>33545.247289999999</v>
      </c>
      <c r="C26" s="53">
        <f t="shared" si="1"/>
        <v>14102.89</v>
      </c>
      <c r="F26" s="52">
        <f t="shared" si="2"/>
        <v>47648.137289999999</v>
      </c>
    </row>
    <row r="27" spans="1:6" x14ac:dyDescent="0.2">
      <c r="A27" s="48">
        <v>176</v>
      </c>
      <c r="B27" s="53">
        <f t="shared" si="0"/>
        <v>33367.025759999997</v>
      </c>
      <c r="C27" s="53">
        <f t="shared" si="1"/>
        <v>14032.220000000001</v>
      </c>
      <c r="F27" s="52">
        <f t="shared" si="2"/>
        <v>47399.245759999998</v>
      </c>
    </row>
    <row r="28" spans="1:6" x14ac:dyDescent="0.2">
      <c r="A28" s="48">
        <v>175</v>
      </c>
      <c r="B28" s="53">
        <f t="shared" si="0"/>
        <v>33188.816250000003</v>
      </c>
      <c r="C28" s="53">
        <f t="shared" si="1"/>
        <v>13961.55</v>
      </c>
      <c r="F28" s="52">
        <f t="shared" si="2"/>
        <v>47150.366250000006</v>
      </c>
    </row>
    <row r="29" spans="1:6" x14ac:dyDescent="0.2">
      <c r="A29" s="48">
        <v>174</v>
      </c>
      <c r="B29" s="53">
        <f t="shared" si="0"/>
        <v>33010.618759999998</v>
      </c>
      <c r="C29" s="53">
        <f t="shared" si="1"/>
        <v>13890.880000000001</v>
      </c>
      <c r="F29" s="52">
        <f t="shared" si="2"/>
        <v>46901.498760000002</v>
      </c>
    </row>
    <row r="30" spans="1:6" x14ac:dyDescent="0.2">
      <c r="A30" s="48">
        <v>173</v>
      </c>
      <c r="B30" s="53">
        <f t="shared" si="0"/>
        <v>32832.433290000001</v>
      </c>
      <c r="C30" s="53">
        <f t="shared" si="1"/>
        <v>13820.210000000001</v>
      </c>
      <c r="F30" s="52">
        <f t="shared" si="2"/>
        <v>46652.64329</v>
      </c>
    </row>
    <row r="31" spans="1:6" x14ac:dyDescent="0.2">
      <c r="A31" s="48">
        <v>172</v>
      </c>
      <c r="B31" s="53">
        <f t="shared" si="0"/>
        <v>32654.259839999999</v>
      </c>
      <c r="C31" s="53">
        <f t="shared" si="1"/>
        <v>13749.54</v>
      </c>
      <c r="F31" s="52">
        <f t="shared" si="2"/>
        <v>46403.79984</v>
      </c>
    </row>
    <row r="32" spans="1:6" x14ac:dyDescent="0.2">
      <c r="A32" s="48">
        <v>171</v>
      </c>
      <c r="B32" s="53">
        <f t="shared" si="0"/>
        <v>32476.098409999999</v>
      </c>
      <c r="C32" s="53">
        <f t="shared" si="1"/>
        <v>13678.87</v>
      </c>
      <c r="F32" s="52">
        <f t="shared" si="2"/>
        <v>46154.968410000001</v>
      </c>
    </row>
    <row r="33" spans="1:6" x14ac:dyDescent="0.2">
      <c r="A33" s="48">
        <v>170</v>
      </c>
      <c r="B33" s="53">
        <f t="shared" si="0"/>
        <v>32297.949000000001</v>
      </c>
      <c r="C33" s="53">
        <f t="shared" si="1"/>
        <v>13608.199999999999</v>
      </c>
      <c r="F33" s="52">
        <f t="shared" si="2"/>
        <v>45906.148999999998</v>
      </c>
    </row>
    <row r="34" spans="1:6" x14ac:dyDescent="0.2">
      <c r="A34" s="48">
        <v>169</v>
      </c>
      <c r="B34" s="53">
        <f t="shared" si="0"/>
        <v>32119.811609999997</v>
      </c>
      <c r="C34" s="53">
        <f t="shared" si="1"/>
        <v>13537.53</v>
      </c>
      <c r="F34" s="52">
        <f t="shared" si="2"/>
        <v>45657.341609999996</v>
      </c>
    </row>
    <row r="35" spans="1:6" x14ac:dyDescent="0.2">
      <c r="A35" s="48">
        <v>168</v>
      </c>
      <c r="B35" s="53">
        <f t="shared" si="0"/>
        <v>31941.686240000003</v>
      </c>
      <c r="C35" s="53">
        <f t="shared" si="1"/>
        <v>13466.86</v>
      </c>
      <c r="F35" s="52">
        <f t="shared" si="2"/>
        <v>45408.546240000003</v>
      </c>
    </row>
    <row r="36" spans="1:6" x14ac:dyDescent="0.2">
      <c r="A36" s="48">
        <v>167</v>
      </c>
      <c r="B36" s="53">
        <f t="shared" si="0"/>
        <v>31763.572890000003</v>
      </c>
      <c r="C36" s="53">
        <f t="shared" si="1"/>
        <v>13396.190000000002</v>
      </c>
      <c r="F36" s="52">
        <f t="shared" si="2"/>
        <v>45159.762890000005</v>
      </c>
    </row>
    <row r="37" spans="1:6" x14ac:dyDescent="0.2">
      <c r="A37" s="48">
        <v>166</v>
      </c>
      <c r="B37" s="53">
        <f t="shared" si="0"/>
        <v>31585.471559999998</v>
      </c>
      <c r="C37" s="53">
        <f t="shared" si="1"/>
        <v>13325.52</v>
      </c>
      <c r="F37" s="52">
        <f t="shared" si="2"/>
        <v>44910.991559999995</v>
      </c>
    </row>
    <row r="38" spans="1:6" x14ac:dyDescent="0.2">
      <c r="A38" s="48">
        <v>165</v>
      </c>
      <c r="B38" s="53">
        <f t="shared" si="0"/>
        <v>31407.382250000002</v>
      </c>
      <c r="C38" s="53">
        <f t="shared" si="1"/>
        <v>13254.849999999999</v>
      </c>
      <c r="F38" s="52">
        <f t="shared" si="2"/>
        <v>44662.232250000001</v>
      </c>
    </row>
    <row r="39" spans="1:6" x14ac:dyDescent="0.2">
      <c r="A39" s="48">
        <v>164</v>
      </c>
      <c r="B39" s="53">
        <f t="shared" si="0"/>
        <v>31229.304960000001</v>
      </c>
      <c r="C39" s="53">
        <f t="shared" si="1"/>
        <v>13184.18</v>
      </c>
      <c r="F39" s="52">
        <f t="shared" si="2"/>
        <v>44413.484960000002</v>
      </c>
    </row>
    <row r="40" spans="1:6" x14ac:dyDescent="0.2">
      <c r="A40" s="48">
        <v>163</v>
      </c>
      <c r="B40" s="53">
        <f t="shared" si="0"/>
        <v>31051.239690000002</v>
      </c>
      <c r="C40" s="53">
        <f t="shared" si="1"/>
        <v>13113.51</v>
      </c>
      <c r="F40" s="52">
        <f t="shared" si="2"/>
        <v>44164.749690000004</v>
      </c>
    </row>
    <row r="41" spans="1:6" x14ac:dyDescent="0.2">
      <c r="A41" s="48">
        <v>162</v>
      </c>
      <c r="B41" s="53">
        <f t="shared" si="0"/>
        <v>30873.186439999998</v>
      </c>
      <c r="C41" s="53">
        <f t="shared" si="1"/>
        <v>13042.84</v>
      </c>
      <c r="F41" s="52">
        <f t="shared" si="2"/>
        <v>43916.026440000001</v>
      </c>
    </row>
    <row r="42" spans="1:6" x14ac:dyDescent="0.2">
      <c r="A42" s="48">
        <v>161</v>
      </c>
      <c r="B42" s="53">
        <f t="shared" si="0"/>
        <v>30695.145210000002</v>
      </c>
      <c r="C42" s="53">
        <f t="shared" si="1"/>
        <v>12972.17</v>
      </c>
      <c r="F42" s="52">
        <f t="shared" si="2"/>
        <v>43667.315210000001</v>
      </c>
    </row>
    <row r="43" spans="1:6" x14ac:dyDescent="0.2">
      <c r="A43" s="48">
        <v>160</v>
      </c>
      <c r="B43" s="53">
        <f t="shared" si="0"/>
        <v>30517.116000000002</v>
      </c>
      <c r="C43" s="53">
        <f t="shared" si="1"/>
        <v>12901.500000000002</v>
      </c>
      <c r="F43" s="52">
        <f t="shared" si="2"/>
        <v>43418.616000000002</v>
      </c>
    </row>
    <row r="44" spans="1:6" x14ac:dyDescent="0.2">
      <c r="A44" s="48">
        <v>159</v>
      </c>
      <c r="B44" s="53">
        <f t="shared" si="0"/>
        <v>30339.098809999996</v>
      </c>
      <c r="C44" s="53">
        <f t="shared" si="1"/>
        <v>12830.83</v>
      </c>
      <c r="F44" s="52">
        <f t="shared" si="2"/>
        <v>43169.928809999998</v>
      </c>
    </row>
    <row r="45" spans="1:6" x14ac:dyDescent="0.2">
      <c r="A45" s="48">
        <v>158</v>
      </c>
      <c r="B45" s="53">
        <f t="shared" si="0"/>
        <v>30161.093639999999</v>
      </c>
      <c r="C45" s="53">
        <f t="shared" si="1"/>
        <v>12760.16</v>
      </c>
      <c r="F45" s="52">
        <f t="shared" si="2"/>
        <v>42921.253639999995</v>
      </c>
    </row>
    <row r="46" spans="1:6" x14ac:dyDescent="0.2">
      <c r="A46" s="48">
        <v>157</v>
      </c>
      <c r="B46" s="53">
        <f t="shared" si="0"/>
        <v>29983.100490000004</v>
      </c>
      <c r="C46" s="53">
        <f t="shared" si="1"/>
        <v>12689.49</v>
      </c>
      <c r="F46" s="52">
        <f t="shared" si="2"/>
        <v>42672.590490000002</v>
      </c>
    </row>
    <row r="47" spans="1:6" x14ac:dyDescent="0.2">
      <c r="A47" s="48">
        <v>156</v>
      </c>
      <c r="B47" s="53">
        <f t="shared" si="0"/>
        <v>29805.119359999997</v>
      </c>
      <c r="C47" s="53">
        <f t="shared" si="1"/>
        <v>12618.82</v>
      </c>
      <c r="F47" s="52">
        <f t="shared" si="2"/>
        <v>42423.939359999997</v>
      </c>
    </row>
    <row r="48" spans="1:6" x14ac:dyDescent="0.2">
      <c r="A48" s="48">
        <v>155</v>
      </c>
      <c r="B48" s="53">
        <f t="shared" si="0"/>
        <v>29627.150249999999</v>
      </c>
      <c r="C48" s="53">
        <f t="shared" si="1"/>
        <v>12548.15</v>
      </c>
      <c r="F48" s="52">
        <f t="shared" si="2"/>
        <v>42175.30025</v>
      </c>
    </row>
    <row r="49" spans="1:6" x14ac:dyDescent="0.2">
      <c r="A49" s="48">
        <v>154</v>
      </c>
      <c r="B49" s="53">
        <f t="shared" si="0"/>
        <v>29449.193159999995</v>
      </c>
      <c r="C49" s="53">
        <f t="shared" si="1"/>
        <v>12477.48</v>
      </c>
      <c r="F49" s="52">
        <f t="shared" si="2"/>
        <v>41926.673159999991</v>
      </c>
    </row>
    <row r="50" spans="1:6" x14ac:dyDescent="0.2">
      <c r="A50" s="48">
        <v>153</v>
      </c>
      <c r="B50" s="53">
        <f t="shared" si="0"/>
        <v>29271.248090000001</v>
      </c>
      <c r="C50" s="53">
        <f t="shared" si="1"/>
        <v>12406.81</v>
      </c>
      <c r="F50" s="52">
        <f t="shared" si="2"/>
        <v>41678.058089999999</v>
      </c>
    </row>
    <row r="51" spans="1:6" x14ac:dyDescent="0.2">
      <c r="A51" s="48">
        <v>152</v>
      </c>
      <c r="B51" s="53">
        <f t="shared" si="0"/>
        <v>29093.315040000001</v>
      </c>
      <c r="C51" s="53">
        <f t="shared" si="1"/>
        <v>12336.14</v>
      </c>
      <c r="F51" s="52">
        <f t="shared" si="2"/>
        <v>41429.455040000001</v>
      </c>
    </row>
    <row r="52" spans="1:6" x14ac:dyDescent="0.2">
      <c r="A52" s="48">
        <v>151</v>
      </c>
      <c r="B52" s="53">
        <f t="shared" si="0"/>
        <v>28915.394009999996</v>
      </c>
      <c r="C52" s="53">
        <f t="shared" si="1"/>
        <v>12265.47</v>
      </c>
      <c r="F52" s="52">
        <f t="shared" si="2"/>
        <v>41180.864009999998</v>
      </c>
    </row>
    <row r="53" spans="1:6" x14ac:dyDescent="0.2">
      <c r="A53" s="48">
        <v>150</v>
      </c>
      <c r="B53" s="53">
        <f t="shared" si="0"/>
        <v>28737.485000000001</v>
      </c>
      <c r="C53" s="53">
        <f t="shared" si="1"/>
        <v>12194.8</v>
      </c>
      <c r="F53" s="52">
        <f t="shared" si="2"/>
        <v>40932.285000000003</v>
      </c>
    </row>
    <row r="54" spans="1:6" x14ac:dyDescent="0.2">
      <c r="A54" s="48">
        <v>149</v>
      </c>
      <c r="B54" s="53">
        <f t="shared" si="0"/>
        <v>28559.588009999999</v>
      </c>
      <c r="C54" s="53">
        <f t="shared" si="1"/>
        <v>12124.13</v>
      </c>
      <c r="F54" s="52">
        <f t="shared" si="2"/>
        <v>40683.718009999997</v>
      </c>
    </row>
    <row r="55" spans="1:6" x14ac:dyDescent="0.2">
      <c r="A55" s="48">
        <v>148</v>
      </c>
      <c r="B55" s="53">
        <f t="shared" si="0"/>
        <v>28381.70304</v>
      </c>
      <c r="C55" s="53">
        <f t="shared" si="1"/>
        <v>12053.46</v>
      </c>
      <c r="F55" s="52">
        <f t="shared" si="2"/>
        <v>40435.163039999999</v>
      </c>
    </row>
    <row r="56" spans="1:6" x14ac:dyDescent="0.2">
      <c r="A56" s="48">
        <v>147</v>
      </c>
      <c r="B56" s="53">
        <f t="shared" si="0"/>
        <v>28203.830090000003</v>
      </c>
      <c r="C56" s="53">
        <f t="shared" si="1"/>
        <v>11982.79</v>
      </c>
      <c r="F56" s="52">
        <f t="shared" si="2"/>
        <v>40186.620090000004</v>
      </c>
    </row>
    <row r="57" spans="1:6" x14ac:dyDescent="0.2">
      <c r="A57" s="48">
        <v>146</v>
      </c>
      <c r="B57" s="53">
        <f t="shared" si="0"/>
        <v>28025.969160000001</v>
      </c>
      <c r="C57" s="53">
        <f t="shared" si="1"/>
        <v>11912.12</v>
      </c>
      <c r="F57" s="52">
        <f t="shared" si="2"/>
        <v>39938.089160000003</v>
      </c>
    </row>
    <row r="58" spans="1:6" x14ac:dyDescent="0.2">
      <c r="A58" s="48">
        <v>145</v>
      </c>
      <c r="B58" s="53">
        <f t="shared" si="0"/>
        <v>27848.12025</v>
      </c>
      <c r="C58" s="53">
        <f t="shared" si="1"/>
        <v>11841.45</v>
      </c>
      <c r="F58" s="52">
        <f t="shared" si="2"/>
        <v>39689.570250000004</v>
      </c>
    </row>
    <row r="59" spans="1:6" x14ac:dyDescent="0.2">
      <c r="A59" s="48">
        <v>144</v>
      </c>
      <c r="B59" s="53">
        <f t="shared" si="0"/>
        <v>27670.283360000001</v>
      </c>
      <c r="C59" s="53">
        <f t="shared" si="1"/>
        <v>11770.779999999999</v>
      </c>
      <c r="F59" s="52">
        <f t="shared" si="2"/>
        <v>39441.06336</v>
      </c>
    </row>
    <row r="60" spans="1:6" x14ac:dyDescent="0.2">
      <c r="A60" s="48">
        <v>143</v>
      </c>
      <c r="B60" s="53">
        <f t="shared" si="0"/>
        <v>27492.458489999997</v>
      </c>
      <c r="C60" s="53">
        <f t="shared" si="1"/>
        <v>11700.109999999999</v>
      </c>
      <c r="F60" s="52">
        <f t="shared" si="2"/>
        <v>39192.568489999998</v>
      </c>
    </row>
    <row r="61" spans="1:6" x14ac:dyDescent="0.2">
      <c r="A61" s="48">
        <v>142</v>
      </c>
      <c r="B61" s="53">
        <f t="shared" si="0"/>
        <v>27314.645640000002</v>
      </c>
      <c r="C61" s="53">
        <f t="shared" si="1"/>
        <v>11629.439999999999</v>
      </c>
      <c r="F61" s="52">
        <f t="shared" si="2"/>
        <v>38944.085640000005</v>
      </c>
    </row>
    <row r="62" spans="1:6" x14ac:dyDescent="0.2">
      <c r="A62" s="48">
        <v>141</v>
      </c>
      <c r="B62" s="53">
        <f t="shared" si="0"/>
        <v>27136.844810000002</v>
      </c>
      <c r="C62" s="53">
        <f t="shared" si="1"/>
        <v>11558.77</v>
      </c>
      <c r="F62" s="52">
        <f t="shared" si="2"/>
        <v>38695.614809999999</v>
      </c>
    </row>
    <row r="63" spans="1:6" x14ac:dyDescent="0.2">
      <c r="A63" s="48">
        <v>140</v>
      </c>
      <c r="B63" s="53">
        <f t="shared" si="0"/>
        <v>26959.055999999997</v>
      </c>
      <c r="C63" s="53">
        <f t="shared" si="1"/>
        <v>11488.1</v>
      </c>
      <c r="F63" s="52">
        <f t="shared" si="2"/>
        <v>38447.155999999995</v>
      </c>
    </row>
    <row r="64" spans="1:6" x14ac:dyDescent="0.2">
      <c r="A64" s="48">
        <v>139</v>
      </c>
      <c r="B64" s="53">
        <f t="shared" si="0"/>
        <v>26781.279210000001</v>
      </c>
      <c r="C64" s="53">
        <f t="shared" si="1"/>
        <v>11417.43</v>
      </c>
      <c r="F64" s="52">
        <f t="shared" si="2"/>
        <v>38198.709210000001</v>
      </c>
    </row>
    <row r="65" spans="1:6" x14ac:dyDescent="0.2">
      <c r="A65" s="48">
        <v>138</v>
      </c>
      <c r="B65" s="53">
        <f t="shared" si="0"/>
        <v>26603.514439999999</v>
      </c>
      <c r="C65" s="53">
        <f t="shared" si="1"/>
        <v>11346.759999999998</v>
      </c>
      <c r="F65" s="52">
        <f t="shared" si="2"/>
        <v>37950.274439999994</v>
      </c>
    </row>
    <row r="66" spans="1:6" x14ac:dyDescent="0.2">
      <c r="A66" s="48">
        <v>137</v>
      </c>
      <c r="B66" s="53">
        <f t="shared" si="0"/>
        <v>26425.761689999999</v>
      </c>
      <c r="C66" s="53">
        <f t="shared" si="1"/>
        <v>11276.09</v>
      </c>
      <c r="F66" s="52">
        <f t="shared" si="2"/>
        <v>37701.851689999996</v>
      </c>
    </row>
    <row r="67" spans="1:6" x14ac:dyDescent="0.2">
      <c r="A67" s="48">
        <v>136</v>
      </c>
      <c r="B67" s="53">
        <f t="shared" si="0"/>
        <v>26248.020960000002</v>
      </c>
      <c r="C67" s="53">
        <f t="shared" si="1"/>
        <v>11205.42</v>
      </c>
      <c r="F67" s="52">
        <f t="shared" si="2"/>
        <v>37453.44096</v>
      </c>
    </row>
    <row r="68" spans="1:6" x14ac:dyDescent="0.2">
      <c r="A68" s="48">
        <v>135</v>
      </c>
      <c r="B68" s="53">
        <f t="shared" ref="B68:B131" si="3">0.00601*A68^2+176.1*A68+2187.26</f>
        <v>26070.292249999999</v>
      </c>
      <c r="C68" s="53">
        <f t="shared" ref="C68:C131" si="4">(A68*0.7067+15.943)*100</f>
        <v>11134.75</v>
      </c>
      <c r="F68" s="52">
        <f t="shared" ref="F68:F131" si="5">B68+C68+D68+E68</f>
        <v>37205.042249999999</v>
      </c>
    </row>
    <row r="69" spans="1:6" x14ac:dyDescent="0.2">
      <c r="A69" s="48">
        <v>134</v>
      </c>
      <c r="B69" s="53">
        <f t="shared" si="3"/>
        <v>25892.575559999997</v>
      </c>
      <c r="C69" s="53">
        <f t="shared" si="4"/>
        <v>11064.08</v>
      </c>
      <c r="F69" s="52">
        <f t="shared" si="5"/>
        <v>36956.655559999999</v>
      </c>
    </row>
    <row r="70" spans="1:6" x14ac:dyDescent="0.2">
      <c r="A70" s="48">
        <v>133</v>
      </c>
      <c r="B70" s="53">
        <f t="shared" si="3"/>
        <v>25714.870889999998</v>
      </c>
      <c r="C70" s="53">
        <f t="shared" si="4"/>
        <v>10993.41</v>
      </c>
      <c r="F70" s="52">
        <f t="shared" si="5"/>
        <v>36708.280889999995</v>
      </c>
    </row>
    <row r="71" spans="1:6" x14ac:dyDescent="0.2">
      <c r="A71" s="48">
        <v>132</v>
      </c>
      <c r="B71" s="53">
        <f t="shared" si="3"/>
        <v>25537.178240000001</v>
      </c>
      <c r="C71" s="53">
        <f t="shared" si="4"/>
        <v>10922.74</v>
      </c>
      <c r="F71" s="52">
        <f t="shared" si="5"/>
        <v>36459.918239999999</v>
      </c>
    </row>
    <row r="72" spans="1:6" x14ac:dyDescent="0.2">
      <c r="A72" s="48">
        <v>131</v>
      </c>
      <c r="B72" s="53">
        <f t="shared" si="3"/>
        <v>25359.497609999999</v>
      </c>
      <c r="C72" s="53">
        <f t="shared" si="4"/>
        <v>10852.07</v>
      </c>
      <c r="F72" s="52">
        <f t="shared" si="5"/>
        <v>36211.567609999998</v>
      </c>
    </row>
    <row r="73" spans="1:6" x14ac:dyDescent="0.2">
      <c r="A73" s="48">
        <v>130</v>
      </c>
      <c r="B73" s="53">
        <f t="shared" si="3"/>
        <v>25181.828999999998</v>
      </c>
      <c r="C73" s="53">
        <f t="shared" si="4"/>
        <v>10781.4</v>
      </c>
      <c r="F73" s="52">
        <f t="shared" si="5"/>
        <v>35963.228999999999</v>
      </c>
    </row>
    <row r="74" spans="1:6" x14ac:dyDescent="0.2">
      <c r="A74" s="48">
        <v>129</v>
      </c>
      <c r="B74" s="53">
        <f t="shared" si="3"/>
        <v>25004.172409999999</v>
      </c>
      <c r="C74" s="53">
        <f t="shared" si="4"/>
        <v>10710.73</v>
      </c>
      <c r="F74" s="52">
        <f t="shared" si="5"/>
        <v>35714.902409999995</v>
      </c>
    </row>
    <row r="75" spans="1:6" x14ac:dyDescent="0.2">
      <c r="A75" s="48">
        <v>128</v>
      </c>
      <c r="B75" s="53">
        <f t="shared" si="3"/>
        <v>24826.527840000002</v>
      </c>
      <c r="C75" s="53">
        <f t="shared" si="4"/>
        <v>10640.06</v>
      </c>
      <c r="F75" s="52">
        <f t="shared" si="5"/>
        <v>35466.58784</v>
      </c>
    </row>
    <row r="76" spans="1:6" x14ac:dyDescent="0.2">
      <c r="A76" s="48">
        <v>127</v>
      </c>
      <c r="B76" s="53">
        <f t="shared" si="3"/>
        <v>24648.89529</v>
      </c>
      <c r="C76" s="53">
        <f t="shared" si="4"/>
        <v>10569.39</v>
      </c>
      <c r="F76" s="52">
        <f t="shared" si="5"/>
        <v>35218.28529</v>
      </c>
    </row>
    <row r="77" spans="1:6" x14ac:dyDescent="0.2">
      <c r="A77" s="48">
        <v>126</v>
      </c>
      <c r="B77" s="53">
        <f t="shared" si="3"/>
        <v>24471.27476</v>
      </c>
      <c r="C77" s="53">
        <f t="shared" si="4"/>
        <v>10498.72</v>
      </c>
      <c r="F77" s="52">
        <f t="shared" si="5"/>
        <v>34969.994760000001</v>
      </c>
    </row>
    <row r="78" spans="1:6" x14ac:dyDescent="0.2">
      <c r="A78" s="48">
        <v>125</v>
      </c>
      <c r="B78" s="53">
        <f t="shared" si="3"/>
        <v>24293.666250000002</v>
      </c>
      <c r="C78" s="53">
        <f t="shared" si="4"/>
        <v>10428.050000000001</v>
      </c>
      <c r="F78" s="52">
        <f t="shared" si="5"/>
        <v>34721.716250000005</v>
      </c>
    </row>
    <row r="79" spans="1:6" x14ac:dyDescent="0.2">
      <c r="A79" s="48">
        <v>124</v>
      </c>
      <c r="B79" s="53">
        <f t="shared" si="3"/>
        <v>24116.069759999998</v>
      </c>
      <c r="C79" s="53">
        <f t="shared" si="4"/>
        <v>10357.379999999999</v>
      </c>
      <c r="F79" s="52">
        <f t="shared" si="5"/>
        <v>34473.449759999996</v>
      </c>
    </row>
    <row r="80" spans="1:6" x14ac:dyDescent="0.2">
      <c r="A80" s="48">
        <v>123</v>
      </c>
      <c r="B80" s="53">
        <f t="shared" si="3"/>
        <v>23938.485289999997</v>
      </c>
      <c r="C80" s="53">
        <f t="shared" si="4"/>
        <v>10286.709999999999</v>
      </c>
      <c r="F80" s="52">
        <f t="shared" si="5"/>
        <v>34225.195289999996</v>
      </c>
    </row>
    <row r="81" spans="1:6" x14ac:dyDescent="0.2">
      <c r="A81" s="48">
        <v>122</v>
      </c>
      <c r="B81" s="53">
        <f t="shared" si="3"/>
        <v>23760.912840000005</v>
      </c>
      <c r="C81" s="53">
        <f t="shared" si="4"/>
        <v>10216.039999999999</v>
      </c>
      <c r="F81" s="52">
        <f t="shared" si="5"/>
        <v>33976.952840000005</v>
      </c>
    </row>
    <row r="82" spans="1:6" x14ac:dyDescent="0.2">
      <c r="A82" s="48">
        <v>121</v>
      </c>
      <c r="B82" s="53">
        <f t="shared" si="3"/>
        <v>23583.35241</v>
      </c>
      <c r="C82" s="53">
        <f t="shared" si="4"/>
        <v>10145.369999999999</v>
      </c>
      <c r="F82" s="52">
        <f t="shared" si="5"/>
        <v>33728.722410000002</v>
      </c>
    </row>
    <row r="83" spans="1:6" x14ac:dyDescent="0.2">
      <c r="A83" s="48">
        <v>120</v>
      </c>
      <c r="B83" s="53">
        <f t="shared" si="3"/>
        <v>23405.804000000004</v>
      </c>
      <c r="C83" s="53">
        <f t="shared" si="4"/>
        <v>10074.700000000001</v>
      </c>
      <c r="D83" s="48">
        <f>(-0.00004300382921*A83/200+0.000032490745159)*3464000*200</f>
        <v>4633.7565201423977</v>
      </c>
      <c r="F83" s="52">
        <f t="shared" si="5"/>
        <v>38114.260520142401</v>
      </c>
    </row>
    <row r="84" spans="1:6" x14ac:dyDescent="0.2">
      <c r="A84" s="48">
        <v>119</v>
      </c>
      <c r="B84" s="53">
        <f t="shared" si="3"/>
        <v>23228.267609999995</v>
      </c>
      <c r="C84" s="53">
        <f t="shared" si="4"/>
        <v>10004.030000000001</v>
      </c>
      <c r="D84" s="50">
        <f t="shared" ref="D84:D143" si="6">(-0.00004300382921*A84/200+0.000032490745159)*3464000*200</f>
        <v>4782.7217845258383</v>
      </c>
      <c r="F84" s="52">
        <f t="shared" si="5"/>
        <v>38015.019394525836</v>
      </c>
    </row>
    <row r="85" spans="1:6" x14ac:dyDescent="0.2">
      <c r="A85" s="48">
        <v>118</v>
      </c>
      <c r="B85" s="53">
        <f t="shared" si="3"/>
        <v>23050.743239999996</v>
      </c>
      <c r="C85" s="53">
        <f t="shared" si="4"/>
        <v>9933.36</v>
      </c>
      <c r="D85" s="50">
        <f t="shared" si="6"/>
        <v>4931.6870489092789</v>
      </c>
      <c r="F85" s="52">
        <f t="shared" si="5"/>
        <v>37915.790288909273</v>
      </c>
    </row>
    <row r="86" spans="1:6" x14ac:dyDescent="0.2">
      <c r="A86" s="48">
        <v>117</v>
      </c>
      <c r="B86" s="53">
        <f t="shared" si="3"/>
        <v>22873.230889999999</v>
      </c>
      <c r="C86" s="53">
        <f t="shared" si="4"/>
        <v>9862.6899999999987</v>
      </c>
      <c r="D86" s="50">
        <f t="shared" si="6"/>
        <v>5080.6523132927168</v>
      </c>
      <c r="F86" s="52">
        <f t="shared" si="5"/>
        <v>37816.573203292712</v>
      </c>
    </row>
    <row r="87" spans="1:6" x14ac:dyDescent="0.2">
      <c r="A87" s="48">
        <v>116</v>
      </c>
      <c r="B87" s="53">
        <f t="shared" si="3"/>
        <v>22695.730559999996</v>
      </c>
      <c r="C87" s="53">
        <f t="shared" si="4"/>
        <v>9792.0199999999986</v>
      </c>
      <c r="D87" s="50">
        <f t="shared" si="6"/>
        <v>5229.6175776761575</v>
      </c>
      <c r="F87" s="52">
        <f t="shared" si="5"/>
        <v>37717.368137676152</v>
      </c>
    </row>
    <row r="88" spans="1:6" x14ac:dyDescent="0.2">
      <c r="A88" s="48">
        <v>115</v>
      </c>
      <c r="B88" s="53">
        <f t="shared" si="3"/>
        <v>22518.242250000003</v>
      </c>
      <c r="C88" s="53">
        <f t="shared" si="4"/>
        <v>9721.35</v>
      </c>
      <c r="D88" s="50">
        <f t="shared" si="6"/>
        <v>5378.5828420595972</v>
      </c>
      <c r="F88" s="52">
        <f t="shared" si="5"/>
        <v>37618.175092059595</v>
      </c>
    </row>
    <row r="89" spans="1:6" x14ac:dyDescent="0.2">
      <c r="A89" s="48">
        <v>114</v>
      </c>
      <c r="B89" s="53">
        <f t="shared" si="3"/>
        <v>22340.765959999997</v>
      </c>
      <c r="C89" s="53">
        <f t="shared" si="4"/>
        <v>9650.68</v>
      </c>
      <c r="D89" s="50">
        <f t="shared" si="6"/>
        <v>5527.548106443036</v>
      </c>
      <c r="F89" s="52">
        <f t="shared" si="5"/>
        <v>37518.994066443032</v>
      </c>
    </row>
    <row r="90" spans="1:6" x14ac:dyDescent="0.2">
      <c r="A90" s="48">
        <v>113</v>
      </c>
      <c r="B90" s="53">
        <f t="shared" si="3"/>
        <v>22163.30169</v>
      </c>
      <c r="C90" s="53">
        <f t="shared" si="4"/>
        <v>9580.01</v>
      </c>
      <c r="D90" s="50">
        <f t="shared" si="6"/>
        <v>5676.5133708264766</v>
      </c>
      <c r="F90" s="52">
        <f t="shared" si="5"/>
        <v>37419.825060826479</v>
      </c>
    </row>
    <row r="91" spans="1:6" x14ac:dyDescent="0.2">
      <c r="A91" s="48">
        <v>112</v>
      </c>
      <c r="B91" s="53">
        <f t="shared" si="3"/>
        <v>21985.849439999998</v>
      </c>
      <c r="C91" s="53">
        <f t="shared" si="4"/>
        <v>9509.34</v>
      </c>
      <c r="D91" s="50">
        <f t="shared" si="6"/>
        <v>5825.4786352099163</v>
      </c>
      <c r="F91" s="52">
        <f t="shared" si="5"/>
        <v>37320.668075209913</v>
      </c>
    </row>
    <row r="92" spans="1:6" x14ac:dyDescent="0.2">
      <c r="A92" s="48">
        <v>111</v>
      </c>
      <c r="B92" s="53">
        <f t="shared" si="3"/>
        <v>21808.409209999998</v>
      </c>
      <c r="C92" s="53">
        <f t="shared" si="4"/>
        <v>9438.6699999999983</v>
      </c>
      <c r="D92" s="50">
        <f t="shared" si="6"/>
        <v>5974.4438995933569</v>
      </c>
      <c r="F92" s="52">
        <f t="shared" si="5"/>
        <v>37221.523109593356</v>
      </c>
    </row>
    <row r="93" spans="1:6" x14ac:dyDescent="0.2">
      <c r="A93" s="48">
        <v>110</v>
      </c>
      <c r="B93" s="53">
        <f t="shared" si="3"/>
        <v>21630.981</v>
      </c>
      <c r="C93" s="53">
        <f t="shared" si="4"/>
        <v>9368</v>
      </c>
      <c r="D93" s="50">
        <f t="shared" si="6"/>
        <v>6123.4091639767958</v>
      </c>
      <c r="F93" s="52">
        <f t="shared" si="5"/>
        <v>37122.390163976794</v>
      </c>
    </row>
    <row r="94" spans="1:6" x14ac:dyDescent="0.2">
      <c r="A94" s="48">
        <v>109</v>
      </c>
      <c r="B94" s="53">
        <f t="shared" si="3"/>
        <v>21453.564809999996</v>
      </c>
      <c r="C94" s="53">
        <f t="shared" si="4"/>
        <v>9297.33</v>
      </c>
      <c r="D94" s="50">
        <f t="shared" si="6"/>
        <v>6272.3744283602355</v>
      </c>
      <c r="F94" s="52">
        <f t="shared" si="5"/>
        <v>37023.269238360233</v>
      </c>
    </row>
    <row r="95" spans="1:6" x14ac:dyDescent="0.2">
      <c r="A95" s="48">
        <v>108</v>
      </c>
      <c r="B95" s="53">
        <f t="shared" si="3"/>
        <v>21276.160640000002</v>
      </c>
      <c r="C95" s="53">
        <f t="shared" si="4"/>
        <v>9226.66</v>
      </c>
      <c r="D95" s="50">
        <f t="shared" si="6"/>
        <v>6421.3396927436788</v>
      </c>
      <c r="F95" s="52">
        <f t="shared" si="5"/>
        <v>36924.160332743682</v>
      </c>
    </row>
    <row r="96" spans="1:6" x14ac:dyDescent="0.2">
      <c r="A96" s="48">
        <v>107</v>
      </c>
      <c r="B96" s="53">
        <f t="shared" si="3"/>
        <v>21098.768490000002</v>
      </c>
      <c r="C96" s="53">
        <f t="shared" si="4"/>
        <v>9155.99</v>
      </c>
      <c r="D96" s="50">
        <f t="shared" si="6"/>
        <v>6570.3049571271195</v>
      </c>
      <c r="F96" s="52">
        <f t="shared" si="5"/>
        <v>36825.063447127119</v>
      </c>
    </row>
    <row r="97" spans="1:6" x14ac:dyDescent="0.2">
      <c r="A97" s="48">
        <v>106</v>
      </c>
      <c r="B97" s="53">
        <f t="shared" si="3"/>
        <v>20921.388359999997</v>
      </c>
      <c r="C97" s="53">
        <f t="shared" si="4"/>
        <v>9085.32</v>
      </c>
      <c r="D97" s="50">
        <f t="shared" si="6"/>
        <v>6719.2702215105573</v>
      </c>
      <c r="F97" s="52">
        <f t="shared" si="5"/>
        <v>36725.978581510557</v>
      </c>
    </row>
    <row r="98" spans="1:6" x14ac:dyDescent="0.2">
      <c r="A98" s="48">
        <v>105</v>
      </c>
      <c r="B98" s="53">
        <f t="shared" si="3"/>
        <v>20744.020250000001</v>
      </c>
      <c r="C98" s="53">
        <f t="shared" si="4"/>
        <v>9014.65</v>
      </c>
      <c r="D98" s="50">
        <f t="shared" si="6"/>
        <v>6868.2354858939971</v>
      </c>
      <c r="F98" s="52">
        <f t="shared" si="5"/>
        <v>36626.905735893997</v>
      </c>
    </row>
    <row r="99" spans="1:6" x14ac:dyDescent="0.2">
      <c r="A99" s="48">
        <v>104</v>
      </c>
      <c r="B99" s="53">
        <f t="shared" si="3"/>
        <v>20566.66416</v>
      </c>
      <c r="C99" s="53">
        <f t="shared" si="4"/>
        <v>8943.98</v>
      </c>
      <c r="D99" s="50">
        <f t="shared" si="6"/>
        <v>7017.2007502774377</v>
      </c>
      <c r="F99" s="52">
        <f t="shared" si="5"/>
        <v>36527.844910277439</v>
      </c>
    </row>
    <row r="100" spans="1:6" x14ac:dyDescent="0.2">
      <c r="A100" s="48">
        <v>103</v>
      </c>
      <c r="B100" s="53">
        <f t="shared" si="3"/>
        <v>20389.320090000001</v>
      </c>
      <c r="C100" s="53">
        <f t="shared" si="4"/>
        <v>8873.31</v>
      </c>
      <c r="D100" s="50">
        <f t="shared" si="6"/>
        <v>7166.1660146608783</v>
      </c>
      <c r="F100" s="52">
        <f t="shared" si="5"/>
        <v>36428.796104660876</v>
      </c>
    </row>
    <row r="101" spans="1:6" x14ac:dyDescent="0.2">
      <c r="A101" s="48">
        <v>102</v>
      </c>
      <c r="B101" s="53">
        <f t="shared" si="3"/>
        <v>20211.988040000004</v>
      </c>
      <c r="C101" s="53">
        <f t="shared" si="4"/>
        <v>8802.64</v>
      </c>
      <c r="D101" s="50">
        <f t="shared" si="6"/>
        <v>7315.1312790443153</v>
      </c>
      <c r="F101" s="52">
        <f t="shared" si="5"/>
        <v>36329.759319044315</v>
      </c>
    </row>
    <row r="102" spans="1:6" x14ac:dyDescent="0.2">
      <c r="A102" s="48">
        <v>101</v>
      </c>
      <c r="B102" s="53">
        <f t="shared" si="3"/>
        <v>20034.668010000001</v>
      </c>
      <c r="C102" s="53">
        <f t="shared" si="4"/>
        <v>8731.9699999999993</v>
      </c>
      <c r="D102" s="50">
        <f t="shared" si="6"/>
        <v>7464.0965434277559</v>
      </c>
      <c r="F102" s="52">
        <f t="shared" si="5"/>
        <v>36230.734553427756</v>
      </c>
    </row>
    <row r="103" spans="1:6" x14ac:dyDescent="0.2">
      <c r="A103" s="48">
        <v>100</v>
      </c>
      <c r="B103" s="53">
        <f t="shared" si="3"/>
        <v>19857.36</v>
      </c>
      <c r="C103" s="53">
        <f t="shared" si="4"/>
        <v>8661.2999999999993</v>
      </c>
      <c r="D103" s="50">
        <f t="shared" si="6"/>
        <v>7613.0618078111984</v>
      </c>
      <c r="F103" s="52">
        <f t="shared" si="5"/>
        <v>36131.721807811198</v>
      </c>
    </row>
    <row r="104" spans="1:6" x14ac:dyDescent="0.2">
      <c r="A104" s="48">
        <v>99</v>
      </c>
      <c r="B104" s="53">
        <f t="shared" si="3"/>
        <v>19680.064009999995</v>
      </c>
      <c r="C104" s="53">
        <f t="shared" si="4"/>
        <v>8590.630000000001</v>
      </c>
      <c r="D104" s="50">
        <f t="shared" si="6"/>
        <v>7762.0270721946354</v>
      </c>
      <c r="F104" s="52">
        <f t="shared" si="5"/>
        <v>36032.721082194628</v>
      </c>
    </row>
    <row r="105" spans="1:6" x14ac:dyDescent="0.2">
      <c r="A105" s="48">
        <v>98</v>
      </c>
      <c r="B105" s="53">
        <f t="shared" si="3"/>
        <v>19502.780039999998</v>
      </c>
      <c r="C105" s="53">
        <f t="shared" si="4"/>
        <v>8519.9600000000009</v>
      </c>
      <c r="D105" s="50">
        <f t="shared" si="6"/>
        <v>7910.992336578076</v>
      </c>
      <c r="F105" s="52">
        <f t="shared" si="5"/>
        <v>35933.732376578075</v>
      </c>
    </row>
    <row r="106" spans="1:6" x14ac:dyDescent="0.2">
      <c r="A106" s="48">
        <v>97</v>
      </c>
      <c r="B106" s="53">
        <f t="shared" si="3"/>
        <v>19325.508090000003</v>
      </c>
      <c r="C106" s="53">
        <f t="shared" si="4"/>
        <v>8449.2899999999991</v>
      </c>
      <c r="D106" s="50">
        <f t="shared" si="6"/>
        <v>8059.9576009615166</v>
      </c>
      <c r="F106" s="52">
        <f t="shared" si="5"/>
        <v>35834.755690961523</v>
      </c>
    </row>
    <row r="107" spans="1:6" x14ac:dyDescent="0.2">
      <c r="A107" s="48">
        <v>96</v>
      </c>
      <c r="B107" s="53">
        <f t="shared" si="3"/>
        <v>19148.248159999996</v>
      </c>
      <c r="C107" s="53">
        <f t="shared" si="4"/>
        <v>8378.619999999999</v>
      </c>
      <c r="D107" s="50">
        <f t="shared" si="6"/>
        <v>8208.9228653449572</v>
      </c>
      <c r="F107" s="52">
        <f t="shared" si="5"/>
        <v>35735.791025344952</v>
      </c>
    </row>
    <row r="108" spans="1:6" x14ac:dyDescent="0.2">
      <c r="A108" s="48">
        <v>95</v>
      </c>
      <c r="B108" s="53">
        <f t="shared" si="3"/>
        <v>18971.000249999997</v>
      </c>
      <c r="C108" s="53">
        <f t="shared" si="4"/>
        <v>8307.9499999999989</v>
      </c>
      <c r="D108" s="50">
        <f t="shared" si="6"/>
        <v>8357.8881297284006</v>
      </c>
      <c r="F108" s="52">
        <f t="shared" si="5"/>
        <v>35636.838379728397</v>
      </c>
    </row>
    <row r="109" spans="1:6" x14ac:dyDescent="0.2">
      <c r="A109" s="48">
        <v>94</v>
      </c>
      <c r="B109" s="53">
        <f t="shared" si="3"/>
        <v>18793.764360000001</v>
      </c>
      <c r="C109" s="53">
        <f t="shared" si="4"/>
        <v>8237.2800000000007</v>
      </c>
      <c r="D109" s="50">
        <f t="shared" si="6"/>
        <v>8506.8533941118367</v>
      </c>
      <c r="F109" s="52">
        <f t="shared" si="5"/>
        <v>35537.897754111837</v>
      </c>
    </row>
    <row r="110" spans="1:6" x14ac:dyDescent="0.2">
      <c r="A110" s="48">
        <v>93</v>
      </c>
      <c r="B110" s="53">
        <f t="shared" si="3"/>
        <v>18616.540489999999</v>
      </c>
      <c r="C110" s="53">
        <f t="shared" si="4"/>
        <v>8166.61</v>
      </c>
      <c r="D110" s="50">
        <f t="shared" si="6"/>
        <v>8655.8186584952782</v>
      </c>
      <c r="F110" s="52">
        <f t="shared" si="5"/>
        <v>35438.969148495278</v>
      </c>
    </row>
    <row r="111" spans="1:6" x14ac:dyDescent="0.2">
      <c r="A111" s="48">
        <v>92</v>
      </c>
      <c r="B111" s="53">
        <f t="shared" si="3"/>
        <v>18439.32864</v>
      </c>
      <c r="C111" s="53">
        <f t="shared" si="4"/>
        <v>8095.9400000000005</v>
      </c>
      <c r="D111" s="50">
        <f t="shared" si="6"/>
        <v>8804.7839228787179</v>
      </c>
      <c r="F111" s="52">
        <f t="shared" si="5"/>
        <v>35340.052562878722</v>
      </c>
    </row>
    <row r="112" spans="1:6" x14ac:dyDescent="0.2">
      <c r="A112" s="48">
        <v>91</v>
      </c>
      <c r="B112" s="53">
        <f t="shared" si="3"/>
        <v>18262.128810000002</v>
      </c>
      <c r="C112" s="53">
        <f t="shared" si="4"/>
        <v>8025.27</v>
      </c>
      <c r="D112" s="50">
        <f t="shared" si="6"/>
        <v>8953.7491872621595</v>
      </c>
      <c r="F112" s="52">
        <f t="shared" si="5"/>
        <v>35241.14799726216</v>
      </c>
    </row>
    <row r="113" spans="1:6" x14ac:dyDescent="0.2">
      <c r="A113" s="48">
        <v>90</v>
      </c>
      <c r="B113" s="53">
        <f t="shared" si="3"/>
        <v>18084.940999999999</v>
      </c>
      <c r="C113" s="53">
        <f t="shared" si="4"/>
        <v>7954.6</v>
      </c>
      <c r="D113" s="50">
        <f t="shared" si="6"/>
        <v>9102.7144516455955</v>
      </c>
      <c r="E113" s="48">
        <f>1.79*6130</f>
        <v>10972.7</v>
      </c>
      <c r="F113" s="52">
        <f t="shared" si="5"/>
        <v>46114.955451645597</v>
      </c>
    </row>
    <row r="114" spans="1:6" x14ac:dyDescent="0.2">
      <c r="A114" s="48">
        <v>89</v>
      </c>
      <c r="B114" s="53">
        <f t="shared" si="3"/>
        <v>17907.765209999998</v>
      </c>
      <c r="C114" s="53">
        <f t="shared" si="4"/>
        <v>7883.9299999999994</v>
      </c>
      <c r="D114" s="50">
        <f t="shared" si="6"/>
        <v>9251.6797160290371</v>
      </c>
      <c r="E114" s="50">
        <f t="shared" ref="E114:E143" si="7">1.79*6130</f>
        <v>10972.7</v>
      </c>
      <c r="F114" s="52">
        <f t="shared" si="5"/>
        <v>46016.074926029032</v>
      </c>
    </row>
    <row r="115" spans="1:6" x14ac:dyDescent="0.2">
      <c r="A115" s="48">
        <v>88</v>
      </c>
      <c r="B115" s="53">
        <f t="shared" si="3"/>
        <v>17730.601439999999</v>
      </c>
      <c r="C115" s="53">
        <f t="shared" si="4"/>
        <v>7813.2599999999993</v>
      </c>
      <c r="D115" s="50">
        <f t="shared" si="6"/>
        <v>9400.6449804124768</v>
      </c>
      <c r="E115" s="50">
        <f t="shared" si="7"/>
        <v>10972.7</v>
      </c>
      <c r="F115" s="52">
        <f t="shared" si="5"/>
        <v>45917.206420412476</v>
      </c>
    </row>
    <row r="116" spans="1:6" x14ac:dyDescent="0.2">
      <c r="A116" s="48">
        <v>87</v>
      </c>
      <c r="B116" s="53">
        <f t="shared" si="3"/>
        <v>17553.449690000001</v>
      </c>
      <c r="C116" s="53">
        <f t="shared" si="4"/>
        <v>7742.59</v>
      </c>
      <c r="D116" s="50">
        <f t="shared" si="6"/>
        <v>9549.6102447959165</v>
      </c>
      <c r="E116" s="50">
        <f t="shared" si="7"/>
        <v>10972.7</v>
      </c>
      <c r="F116" s="52">
        <f t="shared" si="5"/>
        <v>45818.349934795915</v>
      </c>
    </row>
    <row r="117" spans="1:6" x14ac:dyDescent="0.2">
      <c r="A117" s="48">
        <v>86</v>
      </c>
      <c r="B117" s="53">
        <f t="shared" si="3"/>
        <v>17376.309959999999</v>
      </c>
      <c r="C117" s="53">
        <f t="shared" si="4"/>
        <v>7671.92</v>
      </c>
      <c r="D117" s="50">
        <f t="shared" si="6"/>
        <v>9698.5755091793599</v>
      </c>
      <c r="E117" s="50">
        <f t="shared" si="7"/>
        <v>10972.7</v>
      </c>
      <c r="F117" s="52">
        <f t="shared" si="5"/>
        <v>45719.505469179363</v>
      </c>
    </row>
    <row r="118" spans="1:6" x14ac:dyDescent="0.2">
      <c r="A118" s="48">
        <v>85</v>
      </c>
      <c r="B118" s="53">
        <f t="shared" si="3"/>
        <v>17199.182249999998</v>
      </c>
      <c r="C118" s="53">
        <f t="shared" si="4"/>
        <v>7601.25</v>
      </c>
      <c r="D118" s="50">
        <f t="shared" si="6"/>
        <v>9847.5407735627959</v>
      </c>
      <c r="E118" s="50">
        <f t="shared" si="7"/>
        <v>10972.7</v>
      </c>
      <c r="F118" s="52">
        <f t="shared" si="5"/>
        <v>45620.673023562791</v>
      </c>
    </row>
    <row r="119" spans="1:6" x14ac:dyDescent="0.2">
      <c r="A119" s="48">
        <v>84</v>
      </c>
      <c r="B119" s="53">
        <f t="shared" si="3"/>
        <v>17022.066559999999</v>
      </c>
      <c r="C119" s="53">
        <f t="shared" si="4"/>
        <v>7530.5800000000008</v>
      </c>
      <c r="D119" s="50">
        <f t="shared" si="6"/>
        <v>9996.5060379462375</v>
      </c>
      <c r="E119" s="50">
        <f t="shared" si="7"/>
        <v>10972.7</v>
      </c>
      <c r="F119" s="52">
        <f t="shared" si="5"/>
        <v>45521.852597946243</v>
      </c>
    </row>
    <row r="120" spans="1:6" x14ac:dyDescent="0.2">
      <c r="A120" s="48">
        <v>83</v>
      </c>
      <c r="B120" s="53">
        <f t="shared" si="3"/>
        <v>16844.962889999999</v>
      </c>
      <c r="C120" s="53">
        <f t="shared" si="4"/>
        <v>7459.9100000000008</v>
      </c>
      <c r="D120" s="50">
        <f t="shared" si="6"/>
        <v>10145.471302329677</v>
      </c>
      <c r="E120" s="50">
        <f t="shared" si="7"/>
        <v>10972.7</v>
      </c>
      <c r="F120" s="52">
        <f t="shared" si="5"/>
        <v>45423.044192329675</v>
      </c>
    </row>
    <row r="121" spans="1:6" x14ac:dyDescent="0.2">
      <c r="A121" s="48">
        <v>82</v>
      </c>
      <c r="B121" s="53">
        <f t="shared" si="3"/>
        <v>16667.87124</v>
      </c>
      <c r="C121" s="53">
        <f t="shared" si="4"/>
        <v>7389.24</v>
      </c>
      <c r="D121" s="50">
        <f t="shared" si="6"/>
        <v>10294.436566713119</v>
      </c>
      <c r="E121" s="50">
        <f t="shared" si="7"/>
        <v>10972.7</v>
      </c>
      <c r="F121" s="52">
        <f t="shared" si="5"/>
        <v>45324.247806713116</v>
      </c>
    </row>
    <row r="122" spans="1:6" x14ac:dyDescent="0.2">
      <c r="A122" s="48">
        <v>81</v>
      </c>
      <c r="B122" s="53">
        <f t="shared" si="3"/>
        <v>16490.79161</v>
      </c>
      <c r="C122" s="53">
        <f t="shared" si="4"/>
        <v>7318.57</v>
      </c>
      <c r="D122" s="50">
        <f t="shared" si="6"/>
        <v>10443.401831096555</v>
      </c>
      <c r="E122" s="50">
        <f t="shared" si="7"/>
        <v>10972.7</v>
      </c>
      <c r="F122" s="52">
        <f t="shared" si="5"/>
        <v>45225.463441096552</v>
      </c>
    </row>
    <row r="123" spans="1:6" x14ac:dyDescent="0.2">
      <c r="A123" s="48">
        <v>80</v>
      </c>
      <c r="B123" s="53">
        <f t="shared" si="3"/>
        <v>16313.724</v>
      </c>
      <c r="C123" s="53">
        <f t="shared" si="4"/>
        <v>7247.9</v>
      </c>
      <c r="D123" s="50">
        <f t="shared" si="6"/>
        <v>10592.367095479998</v>
      </c>
      <c r="E123" s="50">
        <f t="shared" si="7"/>
        <v>10972.7</v>
      </c>
      <c r="F123" s="52">
        <f t="shared" si="5"/>
        <v>45126.691095479997</v>
      </c>
    </row>
    <row r="124" spans="1:6" x14ac:dyDescent="0.2">
      <c r="A124" s="48">
        <v>79</v>
      </c>
      <c r="B124" s="53">
        <f t="shared" si="3"/>
        <v>16136.66841</v>
      </c>
      <c r="C124" s="53">
        <f t="shared" si="4"/>
        <v>7177.2300000000005</v>
      </c>
      <c r="D124" s="50">
        <f t="shared" si="6"/>
        <v>10741.332359863436</v>
      </c>
      <c r="E124" s="50">
        <f t="shared" si="7"/>
        <v>10972.7</v>
      </c>
      <c r="F124" s="52">
        <f t="shared" si="5"/>
        <v>45027.930769863437</v>
      </c>
    </row>
    <row r="125" spans="1:6" x14ac:dyDescent="0.2">
      <c r="A125" s="48">
        <v>78</v>
      </c>
      <c r="B125" s="53">
        <f t="shared" si="3"/>
        <v>15959.624839999999</v>
      </c>
      <c r="C125" s="53">
        <f t="shared" si="4"/>
        <v>7106.56</v>
      </c>
      <c r="D125" s="50">
        <f t="shared" si="6"/>
        <v>10890.297624246878</v>
      </c>
      <c r="E125" s="50">
        <f t="shared" si="7"/>
        <v>10972.7</v>
      </c>
      <c r="F125" s="52">
        <f t="shared" si="5"/>
        <v>44929.182464246871</v>
      </c>
    </row>
    <row r="126" spans="1:6" x14ac:dyDescent="0.2">
      <c r="A126" s="48">
        <v>77</v>
      </c>
      <c r="B126" s="53">
        <f t="shared" si="3"/>
        <v>15782.593289999999</v>
      </c>
      <c r="C126" s="53">
        <f t="shared" si="4"/>
        <v>7035.89</v>
      </c>
      <c r="D126" s="50">
        <f t="shared" si="6"/>
        <v>11039.262888630317</v>
      </c>
      <c r="E126" s="50">
        <f t="shared" si="7"/>
        <v>10972.7</v>
      </c>
      <c r="F126" s="52">
        <f t="shared" si="5"/>
        <v>44830.446178630315</v>
      </c>
    </row>
    <row r="127" spans="1:6" x14ac:dyDescent="0.2">
      <c r="A127" s="48">
        <v>76</v>
      </c>
      <c r="B127" s="53">
        <f t="shared" si="3"/>
        <v>15605.573760000001</v>
      </c>
      <c r="C127" s="53">
        <f t="shared" si="4"/>
        <v>6965.2200000000012</v>
      </c>
      <c r="D127" s="50">
        <f t="shared" si="6"/>
        <v>11188.228153013757</v>
      </c>
      <c r="E127" s="50">
        <f t="shared" si="7"/>
        <v>10972.7</v>
      </c>
      <c r="F127" s="52">
        <f t="shared" si="5"/>
        <v>44731.721913013753</v>
      </c>
    </row>
    <row r="128" spans="1:6" x14ac:dyDescent="0.2">
      <c r="A128" s="48">
        <v>75</v>
      </c>
      <c r="B128" s="53">
        <f t="shared" si="3"/>
        <v>15428.56625</v>
      </c>
      <c r="C128" s="53">
        <f t="shared" si="4"/>
        <v>6894.5499999999993</v>
      </c>
      <c r="D128" s="50">
        <f t="shared" si="6"/>
        <v>11337.193417397197</v>
      </c>
      <c r="E128" s="50">
        <f t="shared" si="7"/>
        <v>10972.7</v>
      </c>
      <c r="F128" s="52">
        <f t="shared" si="5"/>
        <v>44633.0096673972</v>
      </c>
    </row>
    <row r="129" spans="1:6" x14ac:dyDescent="0.2">
      <c r="A129" s="48">
        <v>74</v>
      </c>
      <c r="B129" s="53">
        <f t="shared" si="3"/>
        <v>15251.570760000001</v>
      </c>
      <c r="C129" s="53">
        <f t="shared" si="4"/>
        <v>6823.88</v>
      </c>
      <c r="D129" s="50">
        <f t="shared" si="6"/>
        <v>11486.158681780636</v>
      </c>
      <c r="E129" s="50">
        <f t="shared" si="7"/>
        <v>10972.7</v>
      </c>
      <c r="F129" s="52">
        <f t="shared" si="5"/>
        <v>44534.309441780642</v>
      </c>
    </row>
    <row r="130" spans="1:6" x14ac:dyDescent="0.2">
      <c r="A130" s="48">
        <v>73</v>
      </c>
      <c r="B130" s="53">
        <f t="shared" si="3"/>
        <v>15074.587289999999</v>
      </c>
      <c r="C130" s="53">
        <f t="shared" si="4"/>
        <v>6753.21</v>
      </c>
      <c r="D130" s="50">
        <f t="shared" si="6"/>
        <v>11635.123946164078</v>
      </c>
      <c r="E130" s="50">
        <f t="shared" si="7"/>
        <v>10972.7</v>
      </c>
      <c r="F130" s="52">
        <f t="shared" si="5"/>
        <v>44435.621236164079</v>
      </c>
    </row>
    <row r="131" spans="1:6" x14ac:dyDescent="0.2">
      <c r="A131" s="48">
        <v>72</v>
      </c>
      <c r="B131" s="53">
        <f t="shared" si="3"/>
        <v>14897.615839999999</v>
      </c>
      <c r="C131" s="53">
        <f t="shared" si="4"/>
        <v>6682.54</v>
      </c>
      <c r="D131" s="50">
        <f t="shared" si="6"/>
        <v>11784.089210547518</v>
      </c>
      <c r="E131" s="50">
        <f t="shared" si="7"/>
        <v>10972.7</v>
      </c>
      <c r="F131" s="52">
        <f t="shared" si="5"/>
        <v>44336.945050547511</v>
      </c>
    </row>
    <row r="132" spans="1:6" x14ac:dyDescent="0.2">
      <c r="A132" s="48">
        <v>71</v>
      </c>
      <c r="B132" s="53">
        <f t="shared" ref="B132:B143" si="8">0.00601*A132^2+176.1*A132+2187.26</f>
        <v>14720.656410000001</v>
      </c>
      <c r="C132" s="53">
        <f t="shared" ref="C132:C143" si="9">(A132*0.7067+15.943)*100</f>
        <v>6611.8700000000008</v>
      </c>
      <c r="D132" s="50">
        <f t="shared" si="6"/>
        <v>11933.054474930957</v>
      </c>
      <c r="E132" s="50">
        <f t="shared" si="7"/>
        <v>10972.7</v>
      </c>
      <c r="F132" s="52">
        <f t="shared" ref="F132:F143" si="10">B132+C132+D132+E132</f>
        <v>44238.280884930966</v>
      </c>
    </row>
    <row r="133" spans="1:6" x14ac:dyDescent="0.2">
      <c r="A133" s="48">
        <v>70</v>
      </c>
      <c r="B133" s="53">
        <f t="shared" si="8"/>
        <v>14543.709000000001</v>
      </c>
      <c r="C133" s="53">
        <f t="shared" si="9"/>
        <v>6541.2000000000007</v>
      </c>
      <c r="D133" s="50">
        <f t="shared" si="6"/>
        <v>12082.019739314395</v>
      </c>
      <c r="E133" s="50">
        <f t="shared" si="7"/>
        <v>10972.7</v>
      </c>
      <c r="F133" s="52">
        <f t="shared" si="10"/>
        <v>44139.628739314401</v>
      </c>
    </row>
    <row r="134" spans="1:6" x14ac:dyDescent="0.2">
      <c r="A134" s="48">
        <v>69</v>
      </c>
      <c r="B134" s="53">
        <f t="shared" si="8"/>
        <v>14366.77361</v>
      </c>
      <c r="C134" s="53">
        <f t="shared" si="9"/>
        <v>6470.53</v>
      </c>
      <c r="D134" s="50">
        <f t="shared" si="6"/>
        <v>12230.985003697839</v>
      </c>
      <c r="E134" s="50">
        <f t="shared" si="7"/>
        <v>10972.7</v>
      </c>
      <c r="F134" s="52">
        <f t="shared" si="10"/>
        <v>44040.988613697831</v>
      </c>
    </row>
    <row r="135" spans="1:6" x14ac:dyDescent="0.2">
      <c r="A135" s="48">
        <v>68</v>
      </c>
      <c r="B135" s="53">
        <f t="shared" si="8"/>
        <v>14189.85024</v>
      </c>
      <c r="C135" s="53">
        <f t="shared" si="9"/>
        <v>6399.86</v>
      </c>
      <c r="D135" s="50">
        <f t="shared" si="6"/>
        <v>12379.950268081277</v>
      </c>
      <c r="E135" s="50">
        <f t="shared" si="7"/>
        <v>10972.7</v>
      </c>
      <c r="F135" s="52">
        <f t="shared" si="10"/>
        <v>43942.36050808127</v>
      </c>
    </row>
    <row r="136" spans="1:6" x14ac:dyDescent="0.2">
      <c r="A136" s="48">
        <v>67</v>
      </c>
      <c r="B136" s="53">
        <f t="shared" si="8"/>
        <v>14012.938889999999</v>
      </c>
      <c r="C136" s="53">
        <f t="shared" si="9"/>
        <v>6329.19</v>
      </c>
      <c r="D136" s="50">
        <f t="shared" si="6"/>
        <v>12528.91553246472</v>
      </c>
      <c r="E136" s="50">
        <f t="shared" si="7"/>
        <v>10972.7</v>
      </c>
      <c r="F136" s="52">
        <f t="shared" si="10"/>
        <v>43843.744422464719</v>
      </c>
    </row>
    <row r="137" spans="1:6" x14ac:dyDescent="0.2">
      <c r="A137" s="48">
        <v>66</v>
      </c>
      <c r="B137" s="53">
        <f t="shared" si="8"/>
        <v>13836.039560000001</v>
      </c>
      <c r="C137" s="53">
        <f t="shared" si="9"/>
        <v>6258.52</v>
      </c>
      <c r="D137" s="50">
        <f t="shared" si="6"/>
        <v>12677.880796848158</v>
      </c>
      <c r="E137" s="50">
        <f t="shared" si="7"/>
        <v>10972.7</v>
      </c>
      <c r="F137" s="52">
        <f t="shared" si="10"/>
        <v>43745.140356848162</v>
      </c>
    </row>
    <row r="138" spans="1:6" x14ac:dyDescent="0.2">
      <c r="A138" s="48">
        <v>65</v>
      </c>
      <c r="B138" s="53">
        <f t="shared" si="8"/>
        <v>13659.152250000001</v>
      </c>
      <c r="C138" s="53">
        <f t="shared" si="9"/>
        <v>6187.8499999999995</v>
      </c>
      <c r="D138" s="50">
        <f t="shared" si="6"/>
        <v>12826.846061231598</v>
      </c>
      <c r="E138" s="50">
        <f t="shared" si="7"/>
        <v>10972.7</v>
      </c>
      <c r="F138" s="52">
        <f t="shared" si="10"/>
        <v>43646.5483112316</v>
      </c>
    </row>
    <row r="139" spans="1:6" x14ac:dyDescent="0.2">
      <c r="A139" s="48">
        <v>64</v>
      </c>
      <c r="B139" s="53">
        <f t="shared" si="8"/>
        <v>13482.276959999999</v>
      </c>
      <c r="C139" s="53">
        <f t="shared" si="9"/>
        <v>6117.1799999999994</v>
      </c>
      <c r="D139" s="50">
        <f t="shared" si="6"/>
        <v>12975.811325615037</v>
      </c>
      <c r="E139" s="50">
        <f t="shared" si="7"/>
        <v>10972.7</v>
      </c>
      <c r="F139" s="52">
        <f t="shared" si="10"/>
        <v>43547.968285615032</v>
      </c>
    </row>
    <row r="140" spans="1:6" x14ac:dyDescent="0.2">
      <c r="A140" s="48">
        <v>63</v>
      </c>
      <c r="B140" s="53">
        <f t="shared" si="8"/>
        <v>13305.413689999999</v>
      </c>
      <c r="C140" s="53">
        <f t="shared" si="9"/>
        <v>6046.51</v>
      </c>
      <c r="D140" s="50">
        <f t="shared" si="6"/>
        <v>13124.776589998475</v>
      </c>
      <c r="E140" s="50">
        <f t="shared" si="7"/>
        <v>10972.7</v>
      </c>
      <c r="F140" s="52">
        <f t="shared" si="10"/>
        <v>43449.400279998474</v>
      </c>
    </row>
    <row r="141" spans="1:6" x14ac:dyDescent="0.2">
      <c r="A141" s="48">
        <v>62</v>
      </c>
      <c r="B141" s="53">
        <f t="shared" si="8"/>
        <v>13128.56244</v>
      </c>
      <c r="C141" s="53">
        <f t="shared" si="9"/>
        <v>5975.8399999999992</v>
      </c>
      <c r="D141" s="50">
        <f t="shared" si="6"/>
        <v>13273.741854381917</v>
      </c>
      <c r="E141" s="50">
        <f t="shared" si="7"/>
        <v>10972.7</v>
      </c>
      <c r="F141" s="52">
        <f t="shared" si="10"/>
        <v>43350.84429438191</v>
      </c>
    </row>
    <row r="142" spans="1:6" x14ac:dyDescent="0.2">
      <c r="A142" s="48">
        <v>61</v>
      </c>
      <c r="B142" s="53">
        <f t="shared" si="8"/>
        <v>12951.72321</v>
      </c>
      <c r="C142" s="53">
        <f t="shared" si="9"/>
        <v>5905.17</v>
      </c>
      <c r="D142" s="50">
        <f t="shared" si="6"/>
        <v>13422.707118765356</v>
      </c>
      <c r="E142" s="50">
        <f t="shared" si="7"/>
        <v>10972.7</v>
      </c>
      <c r="F142" s="52">
        <f t="shared" si="10"/>
        <v>43252.300328765356</v>
      </c>
    </row>
    <row r="143" spans="1:6" x14ac:dyDescent="0.2">
      <c r="A143" s="48">
        <v>60</v>
      </c>
      <c r="B143" s="53">
        <f t="shared" si="8"/>
        <v>12774.896000000001</v>
      </c>
      <c r="C143" s="53">
        <f t="shared" si="9"/>
        <v>5834.5</v>
      </c>
      <c r="D143" s="50">
        <f t="shared" si="6"/>
        <v>13571.672383148796</v>
      </c>
      <c r="E143" s="50">
        <f t="shared" si="7"/>
        <v>10972.7</v>
      </c>
      <c r="F143" s="52">
        <f t="shared" si="10"/>
        <v>43153.768383148796</v>
      </c>
    </row>
  </sheetData>
  <mergeCells count="2">
    <mergeCell ref="A1:A2"/>
    <mergeCell ref="B1:F1"/>
  </mergeCells>
  <phoneticPr fontId="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A579-AC80-4B37-A0B1-27E761593723}">
  <dimension ref="A1:B97"/>
  <sheetViews>
    <sheetView tabSelected="1" workbookViewId="0">
      <selection activeCell="Q13" sqref="Q13"/>
    </sheetView>
  </sheetViews>
  <sheetFormatPr defaultColWidth="8.875" defaultRowHeight="15.75" x14ac:dyDescent="0.2"/>
  <cols>
    <col min="1" max="1" width="12.75" style="58" bestFit="1" customWidth="1"/>
    <col min="2" max="2" width="20.375" style="58" bestFit="1" customWidth="1"/>
    <col min="3" max="16384" width="8.875" style="58"/>
  </cols>
  <sheetData>
    <row r="1" spans="1:2" x14ac:dyDescent="0.2">
      <c r="A1" s="58" t="s">
        <v>20</v>
      </c>
      <c r="B1" s="58" t="s">
        <v>233</v>
      </c>
    </row>
    <row r="2" spans="1:2" x14ac:dyDescent="0.2">
      <c r="A2" s="58">
        <v>1</v>
      </c>
      <c r="B2" s="58">
        <f>wind!B3*0.08+wind!C3*0.08+load!B2*0.02</f>
        <v>93.182559999999995</v>
      </c>
    </row>
    <row r="3" spans="1:2" x14ac:dyDescent="0.2">
      <c r="A3" s="58">
        <v>2</v>
      </c>
      <c r="B3" s="65">
        <f>wind!B4*0.08+wind!C4*0.08+load!B3*0.02</f>
        <v>88.228640000000013</v>
      </c>
    </row>
    <row r="4" spans="1:2" x14ac:dyDescent="0.2">
      <c r="A4" s="58">
        <v>3</v>
      </c>
      <c r="B4" s="65">
        <f>wind!B5*0.08+wind!C5*0.08+load!B4*0.02</f>
        <v>85.698120000000003</v>
      </c>
    </row>
    <row r="5" spans="1:2" x14ac:dyDescent="0.2">
      <c r="A5" s="58">
        <v>4</v>
      </c>
      <c r="B5" s="65">
        <f>wind!B6*0.08+wind!C6*0.08+load!B5*0.02</f>
        <v>81.658020000000008</v>
      </c>
    </row>
    <row r="6" spans="1:2" x14ac:dyDescent="0.2">
      <c r="A6" s="58">
        <v>5</v>
      </c>
      <c r="B6" s="65">
        <f>wind!B7*0.08+wind!C7*0.08+load!B6*0.02</f>
        <v>81.951560000000001</v>
      </c>
    </row>
    <row r="7" spans="1:2" x14ac:dyDescent="0.2">
      <c r="A7" s="58">
        <v>6</v>
      </c>
      <c r="B7" s="65">
        <f>wind!B8*0.08+wind!C8*0.08+load!B7*0.02</f>
        <v>80.960059999999999</v>
      </c>
    </row>
    <row r="8" spans="1:2" x14ac:dyDescent="0.2">
      <c r="A8" s="58">
        <v>7</v>
      </c>
      <c r="B8" s="65">
        <f>wind!B9*0.08+wind!C9*0.08+load!B8*0.02</f>
        <v>82.590920000000011</v>
      </c>
    </row>
    <row r="9" spans="1:2" x14ac:dyDescent="0.2">
      <c r="A9" s="58">
        <v>8</v>
      </c>
      <c r="B9" s="65">
        <f>wind!B10*0.08+wind!C10*0.08+load!B9*0.02</f>
        <v>86.018180000000001</v>
      </c>
    </row>
    <row r="10" spans="1:2" x14ac:dyDescent="0.2">
      <c r="A10" s="58">
        <v>9</v>
      </c>
      <c r="B10" s="65">
        <f>wind!B11*0.08+wind!C11*0.08+load!B10*0.02</f>
        <v>80.733100000000007</v>
      </c>
    </row>
    <row r="11" spans="1:2" x14ac:dyDescent="0.2">
      <c r="A11" s="58">
        <v>10</v>
      </c>
      <c r="B11" s="65">
        <f>wind!B12*0.08+wind!C12*0.08+load!B11*0.02</f>
        <v>69.755619999999993</v>
      </c>
    </row>
    <row r="12" spans="1:2" x14ac:dyDescent="0.2">
      <c r="A12" s="58">
        <v>11</v>
      </c>
      <c r="B12" s="65">
        <f>wind!B13*0.08+wind!C13*0.08+load!B12*0.02</f>
        <v>63.921120000000002</v>
      </c>
    </row>
    <row r="13" spans="1:2" x14ac:dyDescent="0.2">
      <c r="A13" s="58">
        <v>12</v>
      </c>
      <c r="B13" s="65">
        <f>wind!B14*0.08+wind!C14*0.08+load!B13*0.02</f>
        <v>63.366000000000014</v>
      </c>
    </row>
    <row r="14" spans="1:2" x14ac:dyDescent="0.2">
      <c r="A14" s="58">
        <v>13</v>
      </c>
      <c r="B14" s="65">
        <f>wind!B15*0.08+wind!C15*0.08+load!B14*0.02</f>
        <v>68.444600000000008</v>
      </c>
    </row>
    <row r="15" spans="1:2" x14ac:dyDescent="0.2">
      <c r="A15" s="58">
        <v>14</v>
      </c>
      <c r="B15" s="65">
        <f>wind!B16*0.08+wind!C16*0.08+load!B15*0.02</f>
        <v>82.917940000000016</v>
      </c>
    </row>
    <row r="16" spans="1:2" x14ac:dyDescent="0.2">
      <c r="A16" s="58">
        <v>15</v>
      </c>
      <c r="B16" s="65">
        <f>wind!B17*0.08+wind!C17*0.08+load!B16*0.02</f>
        <v>99.999179999999996</v>
      </c>
    </row>
    <row r="17" spans="1:2" x14ac:dyDescent="0.2">
      <c r="A17" s="58">
        <v>16</v>
      </c>
      <c r="B17" s="65">
        <f>wind!B18*0.08+wind!C18*0.08+load!B17*0.02</f>
        <v>107.34736000000001</v>
      </c>
    </row>
    <row r="18" spans="1:2" x14ac:dyDescent="0.2">
      <c r="A18" s="58">
        <v>17</v>
      </c>
      <c r="B18" s="65">
        <f>wind!B19*0.08+wind!C19*0.08+load!B18*0.02</f>
        <v>112.62482</v>
      </c>
    </row>
    <row r="19" spans="1:2" x14ac:dyDescent="0.2">
      <c r="A19" s="58">
        <v>18</v>
      </c>
      <c r="B19" s="65">
        <f>wind!B20*0.08+wind!C20*0.08+load!B19*0.02</f>
        <v>101.17232</v>
      </c>
    </row>
    <row r="20" spans="1:2" x14ac:dyDescent="0.2">
      <c r="A20" s="58">
        <v>19</v>
      </c>
      <c r="B20" s="65">
        <f>wind!B21*0.08+wind!C21*0.08+load!B20*0.02</f>
        <v>91.0458</v>
      </c>
    </row>
    <row r="21" spans="1:2" x14ac:dyDescent="0.2">
      <c r="A21" s="58">
        <v>20</v>
      </c>
      <c r="B21" s="65">
        <f>wind!B22*0.08+wind!C22*0.08+load!B21*0.02</f>
        <v>84.230160000000012</v>
      </c>
    </row>
    <row r="22" spans="1:2" x14ac:dyDescent="0.2">
      <c r="A22" s="58">
        <v>21</v>
      </c>
      <c r="B22" s="65">
        <f>wind!B23*0.08+wind!C23*0.08+load!B22*0.02</f>
        <v>76.448139999999995</v>
      </c>
    </row>
    <row r="23" spans="1:2" x14ac:dyDescent="0.2">
      <c r="A23" s="58">
        <v>22</v>
      </c>
      <c r="B23" s="65">
        <f>wind!B24*0.08+wind!C24*0.08+load!B23*0.02</f>
        <v>77.499940000000009</v>
      </c>
    </row>
    <row r="24" spans="1:2" x14ac:dyDescent="0.2">
      <c r="A24" s="58">
        <v>23</v>
      </c>
      <c r="B24" s="65">
        <f>wind!B25*0.08+wind!C25*0.08+load!B24*0.02</f>
        <v>77.598340000000007</v>
      </c>
    </row>
    <row r="25" spans="1:2" x14ac:dyDescent="0.2">
      <c r="A25" s="58">
        <v>24</v>
      </c>
      <c r="B25" s="65">
        <f>wind!B26*0.08+wind!C26*0.08+load!B25*0.02</f>
        <v>78.799000000000007</v>
      </c>
    </row>
    <row r="26" spans="1:2" x14ac:dyDescent="0.2">
      <c r="A26" s="58">
        <v>25</v>
      </c>
      <c r="B26" s="65">
        <f>wind!B27*0.08+wind!C27*0.08+load!B26*0.02</f>
        <v>0</v>
      </c>
    </row>
    <row r="27" spans="1:2" x14ac:dyDescent="0.2">
      <c r="A27" s="58">
        <v>26</v>
      </c>
      <c r="B27" s="65">
        <f>wind!B28*0.08+wind!C28*0.08+load!B27*0.02</f>
        <v>0</v>
      </c>
    </row>
    <row r="28" spans="1:2" x14ac:dyDescent="0.2">
      <c r="A28" s="58">
        <v>27</v>
      </c>
      <c r="B28" s="65">
        <f>wind!B29*0.08+wind!C29*0.08+load!B28*0.02</f>
        <v>0</v>
      </c>
    </row>
    <row r="29" spans="1:2" x14ac:dyDescent="0.2">
      <c r="A29" s="58">
        <v>28</v>
      </c>
      <c r="B29" s="65">
        <f>wind!B30*0.08+wind!C30*0.08+load!B29*0.02</f>
        <v>0</v>
      </c>
    </row>
    <row r="30" spans="1:2" x14ac:dyDescent="0.2">
      <c r="A30" s="58">
        <v>29</v>
      </c>
      <c r="B30" s="65">
        <f>wind!B31*0.08+wind!C31*0.08+load!B30*0.02</f>
        <v>0</v>
      </c>
    </row>
    <row r="31" spans="1:2" x14ac:dyDescent="0.2">
      <c r="A31" s="58">
        <v>30</v>
      </c>
      <c r="B31" s="65">
        <f>wind!B32*0.08+wind!C32*0.08+load!B31*0.02</f>
        <v>0</v>
      </c>
    </row>
    <row r="32" spans="1:2" x14ac:dyDescent="0.2">
      <c r="A32" s="58">
        <v>31</v>
      </c>
      <c r="B32" s="65">
        <f>wind!B33*0.08+wind!C33*0.08+load!B32*0.02</f>
        <v>0</v>
      </c>
    </row>
    <row r="33" spans="1:2" x14ac:dyDescent="0.2">
      <c r="A33" s="58">
        <v>32</v>
      </c>
      <c r="B33" s="65">
        <f>wind!B34*0.08+wind!C34*0.08+load!B33*0.02</f>
        <v>0</v>
      </c>
    </row>
    <row r="34" spans="1:2" x14ac:dyDescent="0.2">
      <c r="A34" s="58">
        <v>33</v>
      </c>
      <c r="B34" s="65">
        <f>wind!B35*0.08+wind!C35*0.08+load!B34*0.02</f>
        <v>0</v>
      </c>
    </row>
    <row r="35" spans="1:2" x14ac:dyDescent="0.2">
      <c r="A35" s="58">
        <v>34</v>
      </c>
      <c r="B35" s="65">
        <f>wind!B36*0.08+wind!C36*0.08+load!B35*0.02</f>
        <v>0</v>
      </c>
    </row>
    <row r="36" spans="1:2" x14ac:dyDescent="0.2">
      <c r="A36" s="58">
        <v>35</v>
      </c>
      <c r="B36" s="65">
        <f>wind!B37*0.08+wind!C37*0.08+load!B36*0.02</f>
        <v>0</v>
      </c>
    </row>
    <row r="37" spans="1:2" x14ac:dyDescent="0.2">
      <c r="A37" s="58">
        <v>36</v>
      </c>
      <c r="B37" s="65">
        <f>wind!B38*0.08+wind!C38*0.08+load!B37*0.02</f>
        <v>0</v>
      </c>
    </row>
    <row r="38" spans="1:2" x14ac:dyDescent="0.2">
      <c r="A38" s="58">
        <v>37</v>
      </c>
      <c r="B38" s="65">
        <f>wind!B39*0.08+wind!C39*0.08+load!B38*0.02</f>
        <v>0</v>
      </c>
    </row>
    <row r="39" spans="1:2" x14ac:dyDescent="0.2">
      <c r="A39" s="58">
        <v>38</v>
      </c>
      <c r="B39" s="65">
        <f>wind!B40*0.08+wind!C40*0.08+load!B39*0.02</f>
        <v>0</v>
      </c>
    </row>
    <row r="40" spans="1:2" x14ac:dyDescent="0.2">
      <c r="A40" s="58">
        <v>39</v>
      </c>
      <c r="B40" s="65">
        <f>wind!B41*0.08+wind!C41*0.08+load!B40*0.02</f>
        <v>0</v>
      </c>
    </row>
    <row r="41" spans="1:2" x14ac:dyDescent="0.2">
      <c r="A41" s="58">
        <v>40</v>
      </c>
      <c r="B41" s="65">
        <f>wind!B42*0.08+wind!C42*0.08+load!B41*0.02</f>
        <v>0</v>
      </c>
    </row>
    <row r="42" spans="1:2" x14ac:dyDescent="0.2">
      <c r="A42" s="58">
        <v>41</v>
      </c>
      <c r="B42" s="65">
        <f>wind!B43*0.08+wind!C43*0.08+load!B42*0.02</f>
        <v>0</v>
      </c>
    </row>
    <row r="43" spans="1:2" x14ac:dyDescent="0.2">
      <c r="A43" s="58">
        <v>42</v>
      </c>
      <c r="B43" s="65">
        <f>wind!B44*0.08+wind!C44*0.08+load!B43*0.02</f>
        <v>0</v>
      </c>
    </row>
    <row r="44" spans="1:2" x14ac:dyDescent="0.2">
      <c r="A44" s="58">
        <v>43</v>
      </c>
      <c r="B44" s="65">
        <f>wind!B45*0.08+wind!C45*0.08+load!B44*0.02</f>
        <v>0</v>
      </c>
    </row>
    <row r="45" spans="1:2" x14ac:dyDescent="0.2">
      <c r="A45" s="58">
        <v>44</v>
      </c>
      <c r="B45" s="65">
        <f>wind!B46*0.08+wind!C46*0.08+load!B45*0.02</f>
        <v>0</v>
      </c>
    </row>
    <row r="46" spans="1:2" x14ac:dyDescent="0.2">
      <c r="A46" s="58">
        <v>45</v>
      </c>
      <c r="B46" s="65">
        <f>wind!B47*0.08+wind!C47*0.08+load!B46*0.02</f>
        <v>0</v>
      </c>
    </row>
    <row r="47" spans="1:2" x14ac:dyDescent="0.2">
      <c r="A47" s="58">
        <v>46</v>
      </c>
      <c r="B47" s="65">
        <f>wind!B48*0.08+wind!C48*0.08+load!B47*0.02</f>
        <v>0</v>
      </c>
    </row>
    <row r="48" spans="1:2" x14ac:dyDescent="0.2">
      <c r="A48" s="58">
        <v>47</v>
      </c>
      <c r="B48" s="65">
        <f>wind!B49*0.08+wind!C49*0.08+load!B48*0.02</f>
        <v>0</v>
      </c>
    </row>
    <row r="49" spans="1:2" x14ac:dyDescent="0.2">
      <c r="A49" s="58">
        <v>48</v>
      </c>
      <c r="B49" s="65">
        <f>wind!B50*0.08+wind!C50*0.08+load!B49*0.02</f>
        <v>0</v>
      </c>
    </row>
    <row r="50" spans="1:2" x14ac:dyDescent="0.2">
      <c r="A50" s="58">
        <v>49</v>
      </c>
      <c r="B50" s="65">
        <f>wind!B51*0.08+wind!C51*0.08+load!B50*0.02</f>
        <v>0</v>
      </c>
    </row>
    <row r="51" spans="1:2" x14ac:dyDescent="0.2">
      <c r="A51" s="58">
        <v>50</v>
      </c>
      <c r="B51" s="65">
        <f>wind!B52*0.08+wind!C52*0.08+load!B51*0.02</f>
        <v>0</v>
      </c>
    </row>
    <row r="52" spans="1:2" x14ac:dyDescent="0.2">
      <c r="A52" s="58">
        <v>51</v>
      </c>
      <c r="B52" s="65">
        <f>wind!B53*0.08+wind!C53*0.08+load!B52*0.02</f>
        <v>0</v>
      </c>
    </row>
    <row r="53" spans="1:2" x14ac:dyDescent="0.2">
      <c r="A53" s="58">
        <v>52</v>
      </c>
      <c r="B53" s="65">
        <f>wind!B54*0.08+wind!C54*0.08+load!B53*0.02</f>
        <v>0</v>
      </c>
    </row>
    <row r="54" spans="1:2" x14ac:dyDescent="0.2">
      <c r="A54" s="58">
        <v>53</v>
      </c>
      <c r="B54" s="65">
        <f>wind!B55*0.08+wind!C55*0.08+load!B54*0.02</f>
        <v>0</v>
      </c>
    </row>
    <row r="55" spans="1:2" x14ac:dyDescent="0.2">
      <c r="A55" s="58">
        <v>54</v>
      </c>
      <c r="B55" s="65">
        <f>wind!B56*0.08+wind!C56*0.08+load!B55*0.02</f>
        <v>0</v>
      </c>
    </row>
    <row r="56" spans="1:2" x14ac:dyDescent="0.2">
      <c r="A56" s="58">
        <v>55</v>
      </c>
      <c r="B56" s="65">
        <f>wind!B57*0.08+wind!C57*0.08+load!B56*0.02</f>
        <v>0</v>
      </c>
    </row>
    <row r="57" spans="1:2" x14ac:dyDescent="0.2">
      <c r="A57" s="58">
        <v>56</v>
      </c>
      <c r="B57" s="65">
        <f>wind!B58*0.08+wind!C58*0.08+load!B57*0.02</f>
        <v>0</v>
      </c>
    </row>
    <row r="58" spans="1:2" x14ac:dyDescent="0.2">
      <c r="A58" s="58">
        <v>57</v>
      </c>
      <c r="B58" s="65">
        <f>wind!B59*0.08+wind!C59*0.08+load!B58*0.02</f>
        <v>0</v>
      </c>
    </row>
    <row r="59" spans="1:2" x14ac:dyDescent="0.2">
      <c r="A59" s="58">
        <v>58</v>
      </c>
      <c r="B59" s="65">
        <f>wind!B60*0.08+wind!C60*0.08+load!B59*0.02</f>
        <v>0</v>
      </c>
    </row>
    <row r="60" spans="1:2" x14ac:dyDescent="0.2">
      <c r="A60" s="58">
        <v>59</v>
      </c>
      <c r="B60" s="65">
        <f>wind!B61*0.08+wind!C61*0.08+load!B60*0.02</f>
        <v>0</v>
      </c>
    </row>
    <row r="61" spans="1:2" x14ac:dyDescent="0.2">
      <c r="A61" s="58">
        <v>60</v>
      </c>
      <c r="B61" s="65">
        <f>wind!B62*0.08+wind!C62*0.08+load!B61*0.02</f>
        <v>0</v>
      </c>
    </row>
    <row r="62" spans="1:2" x14ac:dyDescent="0.2">
      <c r="A62" s="58">
        <v>61</v>
      </c>
      <c r="B62" s="65">
        <f>wind!B63*0.08+wind!C63*0.08+load!B62*0.02</f>
        <v>0</v>
      </c>
    </row>
    <row r="63" spans="1:2" x14ac:dyDescent="0.2">
      <c r="A63" s="58">
        <v>62</v>
      </c>
      <c r="B63" s="65">
        <f>wind!B64*0.08+wind!C64*0.08+load!B63*0.02</f>
        <v>0</v>
      </c>
    </row>
    <row r="64" spans="1:2" x14ac:dyDescent="0.2">
      <c r="A64" s="58">
        <v>63</v>
      </c>
      <c r="B64" s="65">
        <f>wind!B65*0.08+wind!C65*0.08+load!B64*0.02</f>
        <v>0</v>
      </c>
    </row>
    <row r="65" spans="1:2" x14ac:dyDescent="0.2">
      <c r="A65" s="58">
        <v>64</v>
      </c>
      <c r="B65" s="65">
        <f>wind!B66*0.08+wind!C66*0.08+load!B65*0.02</f>
        <v>0</v>
      </c>
    </row>
    <row r="66" spans="1:2" x14ac:dyDescent="0.2">
      <c r="A66" s="58">
        <v>65</v>
      </c>
      <c r="B66" s="65">
        <f>wind!B67*0.08+wind!C67*0.08+load!B66*0.02</f>
        <v>0</v>
      </c>
    </row>
    <row r="67" spans="1:2" x14ac:dyDescent="0.2">
      <c r="A67" s="58">
        <v>66</v>
      </c>
      <c r="B67" s="65">
        <f>wind!B68*0.08+wind!C68*0.08+load!B67*0.02</f>
        <v>0</v>
      </c>
    </row>
    <row r="68" spans="1:2" x14ac:dyDescent="0.2">
      <c r="A68" s="58">
        <v>67</v>
      </c>
      <c r="B68" s="65">
        <f>wind!B69*0.08+wind!C69*0.08+load!B68*0.02</f>
        <v>0</v>
      </c>
    </row>
    <row r="69" spans="1:2" x14ac:dyDescent="0.2">
      <c r="A69" s="58">
        <v>68</v>
      </c>
      <c r="B69" s="65">
        <f>wind!B70*0.08+wind!C70*0.08+load!B69*0.02</f>
        <v>0</v>
      </c>
    </row>
    <row r="70" spans="1:2" x14ac:dyDescent="0.2">
      <c r="A70" s="58">
        <v>69</v>
      </c>
      <c r="B70" s="65">
        <f>wind!B71*0.08+wind!C71*0.08+load!B70*0.02</f>
        <v>0</v>
      </c>
    </row>
    <row r="71" spans="1:2" x14ac:dyDescent="0.2">
      <c r="A71" s="58">
        <v>70</v>
      </c>
      <c r="B71" s="65">
        <f>wind!B72*0.08+wind!C72*0.08+load!B71*0.02</f>
        <v>0</v>
      </c>
    </row>
    <row r="72" spans="1:2" x14ac:dyDescent="0.2">
      <c r="A72" s="58">
        <v>71</v>
      </c>
      <c r="B72" s="65">
        <f>wind!B73*0.08+wind!C73*0.08+load!B72*0.02</f>
        <v>0</v>
      </c>
    </row>
    <row r="73" spans="1:2" x14ac:dyDescent="0.2">
      <c r="A73" s="58">
        <v>72</v>
      </c>
      <c r="B73" s="65">
        <f>wind!B74*0.08+wind!C74*0.08+load!B73*0.02</f>
        <v>0</v>
      </c>
    </row>
    <row r="74" spans="1:2" x14ac:dyDescent="0.2">
      <c r="A74" s="58">
        <v>73</v>
      </c>
      <c r="B74" s="65">
        <f>wind!B75*0.08+wind!C75*0.08+load!B74*0.02</f>
        <v>0</v>
      </c>
    </row>
    <row r="75" spans="1:2" x14ac:dyDescent="0.2">
      <c r="A75" s="58">
        <v>74</v>
      </c>
      <c r="B75" s="65">
        <f>wind!B76*0.08+wind!C76*0.08+load!B75*0.02</f>
        <v>0</v>
      </c>
    </row>
    <row r="76" spans="1:2" x14ac:dyDescent="0.2">
      <c r="A76" s="58">
        <v>75</v>
      </c>
      <c r="B76" s="65">
        <f>wind!B77*0.08+wind!C77*0.08+load!B76*0.02</f>
        <v>0</v>
      </c>
    </row>
    <row r="77" spans="1:2" x14ac:dyDescent="0.2">
      <c r="A77" s="58">
        <v>76</v>
      </c>
      <c r="B77" s="65">
        <f>wind!B78*0.08+wind!C78*0.08+load!B77*0.02</f>
        <v>0</v>
      </c>
    </row>
    <row r="78" spans="1:2" x14ac:dyDescent="0.2">
      <c r="A78" s="58">
        <v>77</v>
      </c>
      <c r="B78" s="65">
        <f>wind!B79*0.08+wind!C79*0.08+load!B78*0.02</f>
        <v>0</v>
      </c>
    </row>
    <row r="79" spans="1:2" x14ac:dyDescent="0.2">
      <c r="A79" s="58">
        <v>78</v>
      </c>
      <c r="B79" s="65">
        <f>wind!B80*0.08+wind!C80*0.08+load!B79*0.02</f>
        <v>0</v>
      </c>
    </row>
    <row r="80" spans="1:2" x14ac:dyDescent="0.2">
      <c r="A80" s="58">
        <v>79</v>
      </c>
      <c r="B80" s="65">
        <f>wind!B81*0.08+wind!C81*0.08+load!B80*0.02</f>
        <v>0</v>
      </c>
    </row>
    <row r="81" spans="1:2" x14ac:dyDescent="0.2">
      <c r="A81" s="58">
        <v>80</v>
      </c>
      <c r="B81" s="65">
        <f>wind!B82*0.08+wind!C82*0.08+load!B81*0.02</f>
        <v>0</v>
      </c>
    </row>
    <row r="82" spans="1:2" x14ac:dyDescent="0.2">
      <c r="A82" s="58">
        <v>81</v>
      </c>
      <c r="B82" s="65">
        <f>wind!B83*0.08+wind!C83*0.08+load!B82*0.02</f>
        <v>0</v>
      </c>
    </row>
    <row r="83" spans="1:2" x14ac:dyDescent="0.2">
      <c r="A83" s="58">
        <v>82</v>
      </c>
      <c r="B83" s="65">
        <f>wind!B84*0.08+wind!C84*0.08+load!B83*0.02</f>
        <v>0</v>
      </c>
    </row>
    <row r="84" spans="1:2" x14ac:dyDescent="0.2">
      <c r="A84" s="58">
        <v>83</v>
      </c>
      <c r="B84" s="65">
        <f>wind!B85*0.08+wind!C85*0.08+load!B84*0.02</f>
        <v>0</v>
      </c>
    </row>
    <row r="85" spans="1:2" x14ac:dyDescent="0.2">
      <c r="A85" s="58">
        <v>84</v>
      </c>
      <c r="B85" s="65">
        <f>wind!B86*0.08+wind!C86*0.08+load!B85*0.02</f>
        <v>0</v>
      </c>
    </row>
    <row r="86" spans="1:2" x14ac:dyDescent="0.2">
      <c r="A86" s="58">
        <v>85</v>
      </c>
      <c r="B86" s="65">
        <f>wind!B87*0.08+wind!C87*0.08+load!B86*0.02</f>
        <v>0</v>
      </c>
    </row>
    <row r="87" spans="1:2" x14ac:dyDescent="0.2">
      <c r="A87" s="58">
        <v>86</v>
      </c>
      <c r="B87" s="65">
        <f>wind!B88*0.08+wind!C88*0.08+load!B87*0.02</f>
        <v>0</v>
      </c>
    </row>
    <row r="88" spans="1:2" x14ac:dyDescent="0.2">
      <c r="A88" s="58">
        <v>87</v>
      </c>
      <c r="B88" s="65">
        <f>wind!B89*0.08+wind!C89*0.08+load!B88*0.02</f>
        <v>0</v>
      </c>
    </row>
    <row r="89" spans="1:2" x14ac:dyDescent="0.2">
      <c r="A89" s="58">
        <v>88</v>
      </c>
      <c r="B89" s="65">
        <f>wind!B90*0.08+wind!C90*0.08+load!B89*0.02</f>
        <v>0</v>
      </c>
    </row>
    <row r="90" spans="1:2" x14ac:dyDescent="0.2">
      <c r="A90" s="58">
        <v>89</v>
      </c>
      <c r="B90" s="65">
        <f>wind!B91*0.08+wind!C91*0.08+load!B90*0.02</f>
        <v>0</v>
      </c>
    </row>
    <row r="91" spans="1:2" x14ac:dyDescent="0.2">
      <c r="A91" s="58">
        <v>90</v>
      </c>
      <c r="B91" s="65">
        <f>wind!B92*0.08+wind!C92*0.08+load!B91*0.02</f>
        <v>0</v>
      </c>
    </row>
    <row r="92" spans="1:2" x14ac:dyDescent="0.2">
      <c r="A92" s="58">
        <v>91</v>
      </c>
      <c r="B92" s="65">
        <f>wind!B93*0.08+wind!C93*0.08+load!B92*0.02</f>
        <v>0</v>
      </c>
    </row>
    <row r="93" spans="1:2" x14ac:dyDescent="0.2">
      <c r="A93" s="58">
        <v>92</v>
      </c>
      <c r="B93" s="65">
        <f>wind!B94*0.08+wind!C94*0.08+load!B93*0.02</f>
        <v>0</v>
      </c>
    </row>
    <row r="94" spans="1:2" x14ac:dyDescent="0.2">
      <c r="A94" s="58">
        <v>93</v>
      </c>
      <c r="B94" s="65">
        <f>wind!B95*0.08+wind!C95*0.08+load!B94*0.02</f>
        <v>0</v>
      </c>
    </row>
    <row r="95" spans="1:2" x14ac:dyDescent="0.2">
      <c r="A95" s="58">
        <v>94</v>
      </c>
      <c r="B95" s="65">
        <f>wind!B96*0.08+wind!C96*0.08+load!B95*0.02</f>
        <v>0</v>
      </c>
    </row>
    <row r="96" spans="1:2" x14ac:dyDescent="0.2">
      <c r="A96" s="58">
        <v>95</v>
      </c>
      <c r="B96" s="65">
        <f>wind!B97*0.08+wind!C97*0.08+load!B96*0.02</f>
        <v>0</v>
      </c>
    </row>
    <row r="97" spans="1:2" x14ac:dyDescent="0.2">
      <c r="A97" s="58">
        <v>96</v>
      </c>
      <c r="B97" s="65">
        <f>wind!B98*0.08+wind!C98*0.08+load!B97*0.02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82C5-57CF-4B59-831A-A3C652730245}">
  <dimension ref="A1:L26"/>
  <sheetViews>
    <sheetView workbookViewId="0">
      <selection activeCell="O13" sqref="O13"/>
    </sheetView>
  </sheetViews>
  <sheetFormatPr defaultColWidth="8.875" defaultRowHeight="15.75" x14ac:dyDescent="0.2"/>
  <cols>
    <col min="1" max="1" width="7.625" style="63" bestFit="1" customWidth="1"/>
    <col min="2" max="3" width="10.375" style="2" customWidth="1"/>
    <col min="4" max="5" width="11.875" style="2" customWidth="1"/>
    <col min="6" max="6" width="12.875" style="2" bestFit="1" customWidth="1"/>
    <col min="7" max="10" width="15.5" style="11" customWidth="1"/>
    <col min="11" max="11" width="9.875" style="64" customWidth="1"/>
    <col min="12" max="12" width="9.875" style="63" customWidth="1"/>
    <col min="13" max="16384" width="8.875" style="63"/>
  </cols>
  <sheetData>
    <row r="1" spans="1:12" ht="16.350000000000001" customHeight="1" x14ac:dyDescent="0.2">
      <c r="A1" s="70" t="s">
        <v>237</v>
      </c>
      <c r="B1" s="69" t="s">
        <v>238</v>
      </c>
      <c r="C1" s="69"/>
      <c r="D1" s="69" t="s">
        <v>239</v>
      </c>
      <c r="E1" s="69"/>
      <c r="F1" s="69" t="s">
        <v>240</v>
      </c>
      <c r="G1" s="69" t="s">
        <v>241</v>
      </c>
      <c r="H1" s="69"/>
      <c r="I1" s="72" t="s">
        <v>242</v>
      </c>
      <c r="J1" s="72"/>
      <c r="K1" s="69" t="s">
        <v>243</v>
      </c>
      <c r="L1" s="69"/>
    </row>
    <row r="2" spans="1:12" x14ac:dyDescent="0.2">
      <c r="A2" s="70"/>
      <c r="B2" s="63" t="s">
        <v>21</v>
      </c>
      <c r="C2" s="63" t="s">
        <v>22</v>
      </c>
      <c r="D2" s="63" t="s">
        <v>17</v>
      </c>
      <c r="E2" s="63" t="s">
        <v>18</v>
      </c>
      <c r="F2" s="69"/>
      <c r="G2" s="63" t="s">
        <v>244</v>
      </c>
      <c r="H2" s="63" t="s">
        <v>245</v>
      </c>
      <c r="I2" s="64" t="s">
        <v>244</v>
      </c>
      <c r="J2" s="64" t="s">
        <v>245</v>
      </c>
      <c r="K2" s="63" t="s">
        <v>17</v>
      </c>
      <c r="L2" s="63" t="s">
        <v>18</v>
      </c>
    </row>
    <row r="3" spans="1:12" x14ac:dyDescent="0.2">
      <c r="A3" s="63">
        <v>1</v>
      </c>
      <c r="B3" s="2">
        <v>448.17</v>
      </c>
      <c r="C3" s="2">
        <v>383.54</v>
      </c>
      <c r="D3" s="2">
        <f>0.15*B3</f>
        <v>67.225499999999997</v>
      </c>
      <c r="E3" s="2">
        <f>0.15*C3</f>
        <v>57.530999999999999</v>
      </c>
      <c r="F3" s="2">
        <f ca="1">35+10*(RAND()-0.5)</f>
        <v>30.246792323499747</v>
      </c>
      <c r="G3" s="11">
        <f>B3+D3</f>
        <v>515.39549999999997</v>
      </c>
      <c r="H3" s="11">
        <f t="shared" ref="H3:H10" si="0">B3-D3</f>
        <v>380.94450000000001</v>
      </c>
      <c r="I3" s="11">
        <f t="shared" ref="I3:I10" si="1">C3+E3</f>
        <v>441.07100000000003</v>
      </c>
      <c r="J3" s="11">
        <f>C3-E3</f>
        <v>326.00900000000001</v>
      </c>
      <c r="K3" s="64">
        <v>448.17</v>
      </c>
      <c r="L3" s="63">
        <v>163.54</v>
      </c>
    </row>
    <row r="4" spans="1:12" x14ac:dyDescent="0.2">
      <c r="A4" s="63">
        <v>2</v>
      </c>
      <c r="B4" s="2">
        <v>430.51</v>
      </c>
      <c r="C4" s="2">
        <v>375.24</v>
      </c>
      <c r="D4" s="2">
        <f t="shared" ref="D4:D19" si="2">0.15*B4</f>
        <v>64.576499999999996</v>
      </c>
      <c r="E4" s="2">
        <f t="shared" ref="E4:E19" si="3">0.15*C4</f>
        <v>56.286000000000001</v>
      </c>
      <c r="F4" s="2">
        <f t="shared" ref="F4:F19" ca="1" si="4">35+10*(RAND()-0.5)</f>
        <v>37.499559462041383</v>
      </c>
      <c r="G4" s="11">
        <f t="shared" ref="G4:G10" si="5">B4+D4</f>
        <v>495.0865</v>
      </c>
      <c r="H4" s="11">
        <f t="shared" si="0"/>
        <v>365.93349999999998</v>
      </c>
      <c r="I4" s="11">
        <f t="shared" si="1"/>
        <v>431.52600000000001</v>
      </c>
      <c r="J4" s="11">
        <f t="shared" ref="J4:J10" si="6">C4-E4</f>
        <v>318.95400000000001</v>
      </c>
      <c r="K4" s="64">
        <v>430.51</v>
      </c>
      <c r="L4" s="63">
        <v>185.24</v>
      </c>
    </row>
    <row r="5" spans="1:12" x14ac:dyDescent="0.2">
      <c r="A5" s="63">
        <v>3</v>
      </c>
      <c r="B5" s="2">
        <v>436.86</v>
      </c>
      <c r="C5" s="2">
        <v>355.92</v>
      </c>
      <c r="D5" s="2">
        <f t="shared" si="2"/>
        <v>65.528999999999996</v>
      </c>
      <c r="E5" s="2">
        <f t="shared" si="3"/>
        <v>53.387999999999998</v>
      </c>
      <c r="F5" s="2">
        <f t="shared" ca="1" si="4"/>
        <v>32.368162356635864</v>
      </c>
      <c r="G5" s="11">
        <f t="shared" si="5"/>
        <v>502.38900000000001</v>
      </c>
      <c r="H5" s="11">
        <f t="shared" si="0"/>
        <v>371.33100000000002</v>
      </c>
      <c r="I5" s="11">
        <f t="shared" si="1"/>
        <v>409.30799999999999</v>
      </c>
      <c r="J5" s="11">
        <f t="shared" si="6"/>
        <v>302.53200000000004</v>
      </c>
      <c r="K5" s="64">
        <v>436.86</v>
      </c>
      <c r="L5" s="63">
        <v>245.92</v>
      </c>
    </row>
    <row r="6" spans="1:12" x14ac:dyDescent="0.2">
      <c r="A6" s="63">
        <v>4</v>
      </c>
      <c r="B6" s="2">
        <v>415.46</v>
      </c>
      <c r="C6" s="2">
        <v>344.47</v>
      </c>
      <c r="D6" s="2">
        <f t="shared" si="2"/>
        <v>62.318999999999996</v>
      </c>
      <c r="E6" s="2">
        <f t="shared" si="3"/>
        <v>51.670500000000004</v>
      </c>
      <c r="F6" s="2">
        <f t="shared" ca="1" si="4"/>
        <v>31.174943774990357</v>
      </c>
      <c r="G6" s="11">
        <f t="shared" si="5"/>
        <v>477.779</v>
      </c>
      <c r="H6" s="11">
        <f t="shared" si="0"/>
        <v>353.14099999999996</v>
      </c>
      <c r="I6" s="11">
        <f t="shared" si="1"/>
        <v>396.14050000000003</v>
      </c>
      <c r="J6" s="11">
        <f t="shared" si="6"/>
        <v>292.79950000000002</v>
      </c>
      <c r="K6" s="64">
        <v>415.46</v>
      </c>
      <c r="L6" s="63">
        <v>294.47000000000003</v>
      </c>
    </row>
    <row r="7" spans="1:12" x14ac:dyDescent="0.2">
      <c r="A7" s="63">
        <v>5</v>
      </c>
      <c r="B7" s="2">
        <v>417.93</v>
      </c>
      <c r="C7" s="2">
        <v>352.57</v>
      </c>
      <c r="D7" s="2">
        <f t="shared" si="2"/>
        <v>62.689499999999995</v>
      </c>
      <c r="E7" s="2">
        <f t="shared" si="3"/>
        <v>52.8855</v>
      </c>
      <c r="F7" s="2">
        <f t="shared" ca="1" si="4"/>
        <v>34.511913941777401</v>
      </c>
      <c r="G7" s="11">
        <f t="shared" si="5"/>
        <v>480.61950000000002</v>
      </c>
      <c r="H7" s="11">
        <f t="shared" si="0"/>
        <v>355.2405</v>
      </c>
      <c r="I7" s="11">
        <f t="shared" si="1"/>
        <v>405.45549999999997</v>
      </c>
      <c r="J7" s="11">
        <f t="shared" si="6"/>
        <v>299.68450000000001</v>
      </c>
      <c r="K7" s="64">
        <v>417.93</v>
      </c>
      <c r="L7" s="63">
        <v>332.57</v>
      </c>
    </row>
    <row r="8" spans="1:12" x14ac:dyDescent="0.2">
      <c r="A8" s="63">
        <v>6</v>
      </c>
      <c r="B8" s="2">
        <v>380.13</v>
      </c>
      <c r="C8" s="2">
        <v>370.09</v>
      </c>
      <c r="D8" s="2">
        <f t="shared" si="2"/>
        <v>57.019500000000001</v>
      </c>
      <c r="E8" s="2">
        <f t="shared" si="3"/>
        <v>55.513499999999993</v>
      </c>
      <c r="F8" s="2">
        <f t="shared" ca="1" si="4"/>
        <v>31.35648577973253</v>
      </c>
      <c r="G8" s="11">
        <f t="shared" si="5"/>
        <v>437.14949999999999</v>
      </c>
      <c r="H8" s="11">
        <f t="shared" si="0"/>
        <v>323.1105</v>
      </c>
      <c r="I8" s="11">
        <f t="shared" si="1"/>
        <v>425.60349999999994</v>
      </c>
      <c r="J8" s="11">
        <f t="shared" si="6"/>
        <v>314.57650000000001</v>
      </c>
      <c r="K8" s="64">
        <v>380.13</v>
      </c>
      <c r="L8" s="63">
        <v>380.09</v>
      </c>
    </row>
    <row r="9" spans="1:12" x14ac:dyDescent="0.2">
      <c r="A9" s="63">
        <v>7</v>
      </c>
      <c r="B9" s="2">
        <v>354.23</v>
      </c>
      <c r="C9" s="2">
        <v>404.66</v>
      </c>
      <c r="D9" s="2">
        <f t="shared" si="2"/>
        <v>53.134500000000003</v>
      </c>
      <c r="E9" s="2">
        <f t="shared" si="3"/>
        <v>60.698999999999998</v>
      </c>
      <c r="F9" s="2">
        <f t="shared" ca="1" si="4"/>
        <v>36.657631822207897</v>
      </c>
      <c r="G9" s="11">
        <f t="shared" si="5"/>
        <v>407.36450000000002</v>
      </c>
      <c r="H9" s="11">
        <f t="shared" si="0"/>
        <v>301.09550000000002</v>
      </c>
      <c r="I9" s="11">
        <f t="shared" si="1"/>
        <v>465.35900000000004</v>
      </c>
      <c r="J9" s="11">
        <f t="shared" si="6"/>
        <v>343.96100000000001</v>
      </c>
      <c r="K9" s="64">
        <v>354.23</v>
      </c>
      <c r="L9" s="63">
        <v>404.66</v>
      </c>
    </row>
    <row r="10" spans="1:12" x14ac:dyDescent="0.2">
      <c r="A10" s="63">
        <v>8</v>
      </c>
      <c r="B10" s="2">
        <v>340.81</v>
      </c>
      <c r="C10" s="2">
        <v>419.28</v>
      </c>
      <c r="D10" s="2">
        <f t="shared" si="2"/>
        <v>51.121499999999997</v>
      </c>
      <c r="E10" s="2">
        <f t="shared" si="3"/>
        <v>62.891999999999996</v>
      </c>
      <c r="F10" s="2">
        <f t="shared" ca="1" si="4"/>
        <v>37.654462633692489</v>
      </c>
      <c r="G10" s="11">
        <f t="shared" si="5"/>
        <v>391.93150000000003</v>
      </c>
      <c r="H10" s="11">
        <f t="shared" si="0"/>
        <v>289.68849999999998</v>
      </c>
      <c r="I10" s="11">
        <f t="shared" si="1"/>
        <v>482.17199999999997</v>
      </c>
      <c r="J10" s="11">
        <f t="shared" si="6"/>
        <v>356.38799999999998</v>
      </c>
      <c r="K10" s="64">
        <v>340.81</v>
      </c>
      <c r="L10" s="63">
        <v>419.28</v>
      </c>
    </row>
    <row r="11" spans="1:12" x14ac:dyDescent="0.2">
      <c r="A11" s="63">
        <v>9</v>
      </c>
      <c r="B11" s="2">
        <v>275.22000000000003</v>
      </c>
      <c r="C11" s="2">
        <v>329.63</v>
      </c>
      <c r="D11" s="2">
        <f t="shared" si="2"/>
        <v>41.283000000000001</v>
      </c>
      <c r="E11" s="2">
        <f t="shared" si="3"/>
        <v>49.444499999999998</v>
      </c>
      <c r="F11" s="2">
        <f t="shared" ca="1" si="4"/>
        <v>38.525093307406387</v>
      </c>
      <c r="G11" s="11">
        <f t="shared" ref="G11:G18" si="7">B11+D11</f>
        <v>316.50300000000004</v>
      </c>
      <c r="H11" s="11">
        <f t="shared" ref="H11:H18" si="8">B11-D11</f>
        <v>233.93700000000001</v>
      </c>
      <c r="I11" s="11">
        <f t="shared" ref="I11:I18" si="9">C11+E11</f>
        <v>379.0745</v>
      </c>
      <c r="J11" s="11">
        <f t="shared" ref="J11:J18" si="10">C11-E11</f>
        <v>280.18549999999999</v>
      </c>
      <c r="K11" s="64">
        <v>305.22000000000003</v>
      </c>
      <c r="L11" s="63">
        <v>369.63</v>
      </c>
    </row>
    <row r="12" spans="1:12" x14ac:dyDescent="0.2">
      <c r="A12" s="63">
        <v>10</v>
      </c>
      <c r="B12" s="2">
        <v>182.17</v>
      </c>
      <c r="C12" s="2">
        <v>222.79</v>
      </c>
      <c r="D12" s="2">
        <f t="shared" si="2"/>
        <v>27.325499999999998</v>
      </c>
      <c r="E12" s="2">
        <f t="shared" si="3"/>
        <v>33.418499999999995</v>
      </c>
      <c r="F12" s="2">
        <f t="shared" ca="1" si="4"/>
        <v>33.185374610338968</v>
      </c>
      <c r="G12" s="11">
        <f t="shared" si="7"/>
        <v>209.49549999999999</v>
      </c>
      <c r="H12" s="11">
        <f t="shared" si="8"/>
        <v>154.84449999999998</v>
      </c>
      <c r="I12" s="11">
        <f t="shared" si="9"/>
        <v>256.20849999999996</v>
      </c>
      <c r="J12" s="11">
        <f t="shared" si="10"/>
        <v>189.3715</v>
      </c>
      <c r="K12" s="64">
        <v>282.17</v>
      </c>
      <c r="L12" s="63">
        <v>322.79000000000002</v>
      </c>
    </row>
    <row r="13" spans="1:12" x14ac:dyDescent="0.2">
      <c r="A13" s="63">
        <v>11</v>
      </c>
      <c r="B13" s="2">
        <v>152.81</v>
      </c>
      <c r="C13" s="2">
        <v>160.06</v>
      </c>
      <c r="D13" s="2">
        <f t="shared" si="2"/>
        <v>22.921499999999998</v>
      </c>
      <c r="E13" s="2">
        <f t="shared" si="3"/>
        <v>24.009</v>
      </c>
      <c r="F13" s="2">
        <f t="shared" ca="1" si="4"/>
        <v>35.333763168956132</v>
      </c>
      <c r="G13" s="11">
        <f t="shared" si="7"/>
        <v>175.73150000000001</v>
      </c>
      <c r="H13" s="11">
        <f t="shared" si="8"/>
        <v>129.88849999999999</v>
      </c>
      <c r="I13" s="11">
        <f t="shared" si="9"/>
        <v>184.06900000000002</v>
      </c>
      <c r="J13" s="11">
        <f t="shared" si="10"/>
        <v>136.05099999999999</v>
      </c>
      <c r="K13" s="64">
        <v>252.81</v>
      </c>
      <c r="L13" s="63">
        <v>260.06</v>
      </c>
    </row>
    <row r="14" spans="1:12" x14ac:dyDescent="0.2">
      <c r="A14" s="63">
        <v>12</v>
      </c>
      <c r="B14" s="2">
        <v>169.83</v>
      </c>
      <c r="C14" s="2">
        <v>146.19</v>
      </c>
      <c r="D14" s="2">
        <f t="shared" si="2"/>
        <v>25.474500000000003</v>
      </c>
      <c r="E14" s="2">
        <f t="shared" si="3"/>
        <v>21.9285</v>
      </c>
      <c r="F14" s="2">
        <f t="shared" ca="1" si="4"/>
        <v>33.876707021892088</v>
      </c>
      <c r="G14" s="11">
        <f t="shared" si="7"/>
        <v>195.30450000000002</v>
      </c>
      <c r="H14" s="11">
        <f t="shared" si="8"/>
        <v>144.35550000000001</v>
      </c>
      <c r="I14" s="11">
        <f t="shared" si="9"/>
        <v>168.11849999999998</v>
      </c>
      <c r="J14" s="11">
        <f t="shared" si="10"/>
        <v>124.2615</v>
      </c>
      <c r="K14" s="64">
        <v>269.83</v>
      </c>
      <c r="L14" s="63">
        <v>206.19</v>
      </c>
    </row>
    <row r="15" spans="1:12" x14ac:dyDescent="0.2">
      <c r="A15" s="63">
        <v>13</v>
      </c>
      <c r="B15" s="2">
        <v>219.3</v>
      </c>
      <c r="C15" s="2">
        <v>182.5</v>
      </c>
      <c r="D15" s="2">
        <f t="shared" si="2"/>
        <v>32.895000000000003</v>
      </c>
      <c r="E15" s="2">
        <f t="shared" si="3"/>
        <v>27.375</v>
      </c>
      <c r="F15" s="2">
        <f t="shared" ca="1" si="4"/>
        <v>30.94997570330785</v>
      </c>
      <c r="G15" s="11">
        <f t="shared" si="7"/>
        <v>252.19500000000002</v>
      </c>
      <c r="H15" s="11">
        <f t="shared" si="8"/>
        <v>186.405</v>
      </c>
      <c r="I15" s="11">
        <f t="shared" si="9"/>
        <v>209.875</v>
      </c>
      <c r="J15" s="11">
        <f t="shared" si="10"/>
        <v>155.125</v>
      </c>
      <c r="K15" s="64">
        <v>319.3</v>
      </c>
      <c r="L15" s="64">
        <v>212.5</v>
      </c>
    </row>
    <row r="16" spans="1:12" x14ac:dyDescent="0.2">
      <c r="A16" s="63">
        <v>14</v>
      </c>
      <c r="B16" s="2">
        <v>317.08</v>
      </c>
      <c r="C16" s="2">
        <v>280.3</v>
      </c>
      <c r="D16" s="2">
        <f t="shared" si="2"/>
        <v>47.561999999999998</v>
      </c>
      <c r="E16" s="2">
        <f t="shared" si="3"/>
        <v>42.045000000000002</v>
      </c>
      <c r="F16" s="2">
        <f t="shared" ca="1" si="4"/>
        <v>35.603156833525944</v>
      </c>
      <c r="G16" s="11">
        <f t="shared" si="7"/>
        <v>364.642</v>
      </c>
      <c r="H16" s="11">
        <f t="shared" si="8"/>
        <v>269.51799999999997</v>
      </c>
      <c r="I16" s="11">
        <f t="shared" si="9"/>
        <v>322.34500000000003</v>
      </c>
      <c r="J16" s="11">
        <f t="shared" si="10"/>
        <v>238.255</v>
      </c>
      <c r="K16" s="64">
        <v>367.08</v>
      </c>
      <c r="L16" s="64">
        <v>280.3</v>
      </c>
    </row>
    <row r="17" spans="1:12" x14ac:dyDescent="0.2">
      <c r="A17" s="63">
        <v>15</v>
      </c>
      <c r="B17" s="2">
        <v>446.03</v>
      </c>
      <c r="C17" s="2">
        <v>375.94</v>
      </c>
      <c r="D17" s="2">
        <f t="shared" si="2"/>
        <v>66.904499999999999</v>
      </c>
      <c r="E17" s="2">
        <f t="shared" si="3"/>
        <v>56.390999999999998</v>
      </c>
      <c r="F17" s="2">
        <f t="shared" ca="1" si="4"/>
        <v>38.238649357912649</v>
      </c>
      <c r="G17" s="11">
        <f t="shared" si="7"/>
        <v>512.93449999999996</v>
      </c>
      <c r="H17" s="11">
        <f t="shared" si="8"/>
        <v>379.12549999999999</v>
      </c>
      <c r="I17" s="11">
        <f t="shared" si="9"/>
        <v>432.33100000000002</v>
      </c>
      <c r="J17" s="11">
        <f t="shared" si="10"/>
        <v>319.54899999999998</v>
      </c>
      <c r="K17" s="64">
        <v>446.03</v>
      </c>
      <c r="L17" s="64">
        <v>375.94</v>
      </c>
    </row>
    <row r="18" spans="1:12" x14ac:dyDescent="0.2">
      <c r="A18" s="63">
        <v>16</v>
      </c>
      <c r="B18" s="2">
        <v>496.21</v>
      </c>
      <c r="C18" s="2">
        <v>429.94</v>
      </c>
      <c r="D18" s="2">
        <f t="shared" si="2"/>
        <v>74.4315</v>
      </c>
      <c r="E18" s="2">
        <f t="shared" si="3"/>
        <v>64.491</v>
      </c>
      <c r="F18" s="2">
        <f t="shared" ca="1" si="4"/>
        <v>32.051851914611348</v>
      </c>
      <c r="G18" s="11">
        <f t="shared" si="7"/>
        <v>570.64149999999995</v>
      </c>
      <c r="H18" s="11">
        <f t="shared" si="8"/>
        <v>421.77850000000001</v>
      </c>
      <c r="I18" s="11">
        <f t="shared" si="9"/>
        <v>494.43099999999998</v>
      </c>
      <c r="J18" s="11">
        <f t="shared" si="10"/>
        <v>365.44900000000001</v>
      </c>
      <c r="K18" s="64">
        <v>496.21</v>
      </c>
      <c r="L18" s="64">
        <v>429.94</v>
      </c>
    </row>
    <row r="19" spans="1:12" x14ac:dyDescent="0.2">
      <c r="A19" s="63">
        <v>17</v>
      </c>
      <c r="B19" s="2">
        <v>520.54999999999995</v>
      </c>
      <c r="C19" s="2">
        <v>461.9</v>
      </c>
      <c r="D19" s="2">
        <f t="shared" si="2"/>
        <v>78.082499999999996</v>
      </c>
      <c r="E19" s="2">
        <f t="shared" si="3"/>
        <v>69.284999999999997</v>
      </c>
      <c r="F19" s="2">
        <f t="shared" ca="1" si="4"/>
        <v>33.46216988087582</v>
      </c>
      <c r="G19" s="11">
        <f t="shared" ref="G19:G25" si="11">B19+D19</f>
        <v>598.63249999999994</v>
      </c>
      <c r="H19" s="11">
        <f t="shared" ref="H19:H25" si="12">B19-D19</f>
        <v>442.46749999999997</v>
      </c>
      <c r="I19" s="11">
        <f t="shared" ref="I19:I26" si="13">C19+E19</f>
        <v>531.18499999999995</v>
      </c>
      <c r="J19" s="11">
        <f t="shared" ref="J19:J26" si="14">C19-E19</f>
        <v>392.61500000000001</v>
      </c>
      <c r="K19" s="64">
        <v>520.54999999999995</v>
      </c>
      <c r="L19" s="64">
        <v>461.9</v>
      </c>
    </row>
    <row r="20" spans="1:12" x14ac:dyDescent="0.2">
      <c r="A20" s="63">
        <v>18</v>
      </c>
      <c r="B20" s="2">
        <v>425.63</v>
      </c>
      <c r="C20" s="2">
        <v>380.78</v>
      </c>
      <c r="D20" s="2">
        <f t="shared" ref="D20:D26" si="15">0.15*B20</f>
        <v>63.844499999999996</v>
      </c>
      <c r="E20" s="2">
        <f t="shared" ref="E20:E26" si="16">0.15*C20</f>
        <v>57.116999999999997</v>
      </c>
      <c r="F20" s="2">
        <f t="shared" ref="F20:F26" ca="1" si="17">35+10*(RAND()-0.5)</f>
        <v>31.208786764113409</v>
      </c>
      <c r="G20" s="11">
        <f t="shared" si="11"/>
        <v>489.47449999999998</v>
      </c>
      <c r="H20" s="11">
        <f t="shared" si="12"/>
        <v>361.78550000000001</v>
      </c>
      <c r="I20" s="11">
        <f t="shared" si="13"/>
        <v>437.89699999999999</v>
      </c>
      <c r="J20" s="11">
        <f t="shared" si="14"/>
        <v>323.66299999999995</v>
      </c>
      <c r="K20" s="64">
        <v>425.63</v>
      </c>
      <c r="L20" s="64">
        <v>380.78</v>
      </c>
    </row>
    <row r="21" spans="1:12" x14ac:dyDescent="0.2">
      <c r="A21" s="63">
        <v>19</v>
      </c>
      <c r="B21" s="2">
        <v>340.59</v>
      </c>
      <c r="C21" s="2">
        <v>298.95</v>
      </c>
      <c r="D21" s="2">
        <f t="shared" si="15"/>
        <v>51.088499999999996</v>
      </c>
      <c r="E21" s="2">
        <f t="shared" si="16"/>
        <v>44.842499999999994</v>
      </c>
      <c r="F21" s="2">
        <f t="shared" ca="1" si="17"/>
        <v>35.243216173233698</v>
      </c>
      <c r="G21" s="11">
        <f t="shared" si="11"/>
        <v>391.67849999999999</v>
      </c>
      <c r="H21" s="11">
        <f t="shared" si="12"/>
        <v>289.50149999999996</v>
      </c>
      <c r="I21" s="11">
        <f t="shared" si="13"/>
        <v>343.79249999999996</v>
      </c>
      <c r="J21" s="11">
        <f t="shared" si="14"/>
        <v>254.10749999999999</v>
      </c>
      <c r="K21" s="64">
        <v>340.59</v>
      </c>
      <c r="L21" s="64">
        <v>298.95</v>
      </c>
    </row>
    <row r="22" spans="1:12" x14ac:dyDescent="0.2">
      <c r="A22" s="63">
        <v>20</v>
      </c>
      <c r="B22" s="2">
        <v>265.04000000000002</v>
      </c>
      <c r="C22" s="2">
        <v>253.12</v>
      </c>
      <c r="D22" s="2">
        <f t="shared" si="15"/>
        <v>39.756</v>
      </c>
      <c r="E22" s="2">
        <f t="shared" si="16"/>
        <v>37.967999999999996</v>
      </c>
      <c r="F22" s="2">
        <f t="shared" ca="1" si="17"/>
        <v>33.098260497981649</v>
      </c>
      <c r="G22" s="11">
        <f t="shared" si="11"/>
        <v>304.79600000000005</v>
      </c>
      <c r="H22" s="11">
        <f t="shared" si="12"/>
        <v>225.28400000000002</v>
      </c>
      <c r="I22" s="11">
        <f t="shared" si="13"/>
        <v>291.08800000000002</v>
      </c>
      <c r="J22" s="11">
        <f t="shared" si="14"/>
        <v>215.15200000000002</v>
      </c>
      <c r="K22" s="64">
        <v>265.04000000000002</v>
      </c>
      <c r="L22" s="64">
        <v>253.12</v>
      </c>
    </row>
    <row r="23" spans="1:12" x14ac:dyDescent="0.2">
      <c r="A23" s="63">
        <v>21</v>
      </c>
      <c r="B23" s="2">
        <v>230.03</v>
      </c>
      <c r="C23" s="2">
        <v>217.83</v>
      </c>
      <c r="D23" s="2">
        <f t="shared" si="15"/>
        <v>34.5045</v>
      </c>
      <c r="E23" s="2">
        <f t="shared" si="16"/>
        <v>32.674500000000002</v>
      </c>
      <c r="F23" s="2">
        <f t="shared" ca="1" si="17"/>
        <v>39.557180193290172</v>
      </c>
      <c r="G23" s="11">
        <f t="shared" si="11"/>
        <v>264.53449999999998</v>
      </c>
      <c r="H23" s="11">
        <f t="shared" si="12"/>
        <v>195.52549999999999</v>
      </c>
      <c r="I23" s="11">
        <f t="shared" si="13"/>
        <v>250.50450000000001</v>
      </c>
      <c r="J23" s="11">
        <f t="shared" si="14"/>
        <v>185.15550000000002</v>
      </c>
      <c r="K23" s="64">
        <v>230.03</v>
      </c>
      <c r="L23" s="64">
        <v>217.83</v>
      </c>
    </row>
    <row r="24" spans="1:12" x14ac:dyDescent="0.2">
      <c r="A24" s="63">
        <v>22</v>
      </c>
      <c r="B24" s="2">
        <v>301.56</v>
      </c>
      <c r="C24" s="2">
        <v>208.7</v>
      </c>
      <c r="D24" s="2">
        <f t="shared" si="15"/>
        <v>45.234000000000002</v>
      </c>
      <c r="E24" s="2">
        <f t="shared" si="16"/>
        <v>31.304999999999996</v>
      </c>
      <c r="F24" s="2">
        <f t="shared" ca="1" si="17"/>
        <v>36.999626135883254</v>
      </c>
      <c r="G24" s="11">
        <f t="shared" si="11"/>
        <v>346.79399999999998</v>
      </c>
      <c r="H24" s="11">
        <f t="shared" si="12"/>
        <v>256.32600000000002</v>
      </c>
      <c r="I24" s="11">
        <f t="shared" si="13"/>
        <v>240.005</v>
      </c>
      <c r="J24" s="11">
        <f t="shared" si="14"/>
        <v>177.39499999999998</v>
      </c>
      <c r="K24" s="64">
        <v>301.56</v>
      </c>
      <c r="L24" s="64">
        <v>208.7</v>
      </c>
    </row>
    <row r="25" spans="1:12" x14ac:dyDescent="0.2">
      <c r="A25" s="63">
        <v>23</v>
      </c>
      <c r="B25" s="2">
        <v>322.07</v>
      </c>
      <c r="C25" s="2">
        <v>235.86</v>
      </c>
      <c r="D25" s="2">
        <f t="shared" si="15"/>
        <v>48.310499999999998</v>
      </c>
      <c r="E25" s="2">
        <f t="shared" si="16"/>
        <v>35.378999999999998</v>
      </c>
      <c r="F25" s="2">
        <f t="shared" ca="1" si="17"/>
        <v>34.267024871913968</v>
      </c>
      <c r="G25" s="11">
        <f t="shared" si="11"/>
        <v>370.38049999999998</v>
      </c>
      <c r="H25" s="11">
        <f t="shared" si="12"/>
        <v>273.7595</v>
      </c>
      <c r="I25" s="11">
        <f t="shared" si="13"/>
        <v>271.23900000000003</v>
      </c>
      <c r="J25" s="11">
        <f t="shared" si="14"/>
        <v>200.48100000000002</v>
      </c>
      <c r="K25" s="64">
        <v>322.07</v>
      </c>
      <c r="L25" s="64">
        <v>235.86</v>
      </c>
    </row>
    <row r="26" spans="1:12" x14ac:dyDescent="0.2">
      <c r="A26" s="63">
        <v>24</v>
      </c>
      <c r="B26" s="2">
        <v>348.03</v>
      </c>
      <c r="C26" s="2">
        <v>281.3</v>
      </c>
      <c r="D26" s="2">
        <f t="shared" si="15"/>
        <v>52.204499999999996</v>
      </c>
      <c r="E26" s="2">
        <f t="shared" si="16"/>
        <v>42.195</v>
      </c>
      <c r="F26" s="2">
        <f t="shared" ca="1" si="17"/>
        <v>34.498599635632523</v>
      </c>
      <c r="G26" s="11">
        <f>B26+D26</f>
        <v>400.23449999999997</v>
      </c>
      <c r="H26" s="11">
        <f>B26-D26</f>
        <v>295.82549999999998</v>
      </c>
      <c r="I26" s="11">
        <f t="shared" si="13"/>
        <v>323.495</v>
      </c>
      <c r="J26" s="11">
        <f t="shared" si="14"/>
        <v>239.10500000000002</v>
      </c>
      <c r="K26" s="64">
        <v>348.03</v>
      </c>
      <c r="L26" s="64">
        <v>281.3</v>
      </c>
    </row>
  </sheetData>
  <mergeCells count="7">
    <mergeCell ref="K1:L1"/>
    <mergeCell ref="A1:A2"/>
    <mergeCell ref="B1:C1"/>
    <mergeCell ref="D1:E1"/>
    <mergeCell ref="G1:H1"/>
    <mergeCell ref="I1:J1"/>
    <mergeCell ref="F1:F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BDB2-710C-42C8-97ED-033A89175B79}">
  <dimension ref="A1:G25"/>
  <sheetViews>
    <sheetView workbookViewId="0">
      <selection activeCell="B2" sqref="B2"/>
    </sheetView>
  </sheetViews>
  <sheetFormatPr defaultColWidth="8.875" defaultRowHeight="15.75" x14ac:dyDescent="0.2"/>
  <cols>
    <col min="1" max="1" width="7.625" style="5" bestFit="1" customWidth="1"/>
    <col min="2" max="2" width="17.875" style="2" bestFit="1" customWidth="1"/>
    <col min="3" max="3" width="20.875" style="5" bestFit="1" customWidth="1"/>
    <col min="4" max="4" width="15.375" style="2" bestFit="1" customWidth="1"/>
    <col min="5" max="5" width="14.75" style="2" customWidth="1"/>
    <col min="6" max="7" width="20.875" style="5" bestFit="1" customWidth="1"/>
    <col min="8" max="16384" width="8.875" style="5"/>
  </cols>
  <sheetData>
    <row r="1" spans="1:7" x14ac:dyDescent="0.2">
      <c r="A1" s="60" t="s">
        <v>236</v>
      </c>
      <c r="B1" s="5" t="s">
        <v>23</v>
      </c>
      <c r="C1" s="6" t="s">
        <v>24</v>
      </c>
      <c r="D1" s="4" t="s">
        <v>26</v>
      </c>
      <c r="E1" s="9" t="s">
        <v>25</v>
      </c>
      <c r="F1" s="6" t="s">
        <v>38</v>
      </c>
      <c r="G1" s="6" t="s">
        <v>39</v>
      </c>
    </row>
    <row r="2" spans="1:7" x14ac:dyDescent="0.2">
      <c r="A2" s="5">
        <v>1</v>
      </c>
      <c r="B2" s="2">
        <f>D2*0.9</f>
        <v>1332.288</v>
      </c>
      <c r="C2" s="2">
        <f>0.05*B2</f>
        <v>66.614400000000003</v>
      </c>
      <c r="D2" s="2">
        <v>1480.32</v>
      </c>
      <c r="E2" s="2">
        <f ca="1">55+10*(RAND()-0.5)</f>
        <v>56.88525174265218</v>
      </c>
      <c r="F2" s="11">
        <f t="shared" ref="F2:F9" si="0">B2+C2</f>
        <v>1398.9023999999999</v>
      </c>
      <c r="G2" s="11">
        <f t="shared" ref="G2:G9" si="1">B2-C2</f>
        <v>1265.6736000000001</v>
      </c>
    </row>
    <row r="3" spans="1:7" x14ac:dyDescent="0.2">
      <c r="A3" s="59">
        <v>2</v>
      </c>
      <c r="B3" s="2">
        <f t="shared" ref="B3:B18" si="2">D3*0.9</f>
        <v>1188.432</v>
      </c>
      <c r="C3" s="2">
        <f t="shared" ref="C3:C18" si="3">0.05*B3</f>
        <v>59.421600000000005</v>
      </c>
      <c r="D3" s="2">
        <v>1320.48</v>
      </c>
      <c r="E3" s="2">
        <f t="shared" ref="E3:E18" ca="1" si="4">55+10*(RAND()-0.5)</f>
        <v>52.925074111710472</v>
      </c>
      <c r="F3" s="11">
        <f t="shared" si="0"/>
        <v>1247.8535999999999</v>
      </c>
      <c r="G3" s="11">
        <f t="shared" si="1"/>
        <v>1129.0104000000001</v>
      </c>
    </row>
    <row r="4" spans="1:7" x14ac:dyDescent="0.2">
      <c r="A4" s="59">
        <v>3</v>
      </c>
      <c r="B4" s="2">
        <f t="shared" si="2"/>
        <v>1113.7860000000001</v>
      </c>
      <c r="C4" s="2">
        <f t="shared" si="3"/>
        <v>55.689300000000003</v>
      </c>
      <c r="D4" s="2">
        <v>1237.54</v>
      </c>
      <c r="E4" s="2">
        <f t="shared" ca="1" si="4"/>
        <v>57.539693483365681</v>
      </c>
      <c r="F4" s="11">
        <f t="shared" si="0"/>
        <v>1169.4753000000001</v>
      </c>
      <c r="G4" s="11">
        <f t="shared" si="1"/>
        <v>1058.0967000000001</v>
      </c>
    </row>
    <row r="5" spans="1:7" x14ac:dyDescent="0.2">
      <c r="A5" s="59">
        <v>4</v>
      </c>
      <c r="B5" s="2">
        <f t="shared" si="2"/>
        <v>1043.181</v>
      </c>
      <c r="C5" s="2">
        <f t="shared" si="3"/>
        <v>52.159050000000008</v>
      </c>
      <c r="D5" s="2">
        <v>1159.0899999999999</v>
      </c>
      <c r="E5" s="2">
        <f t="shared" ca="1" si="4"/>
        <v>54.118992890166375</v>
      </c>
      <c r="F5" s="11">
        <f t="shared" si="0"/>
        <v>1095.34005</v>
      </c>
      <c r="G5" s="11">
        <f t="shared" si="1"/>
        <v>991.02195000000006</v>
      </c>
    </row>
    <row r="6" spans="1:7" x14ac:dyDescent="0.2">
      <c r="A6" s="59">
        <v>5</v>
      </c>
      <c r="B6" s="2">
        <f t="shared" si="2"/>
        <v>1015.5780000000001</v>
      </c>
      <c r="C6" s="2">
        <f t="shared" si="3"/>
        <v>50.778900000000007</v>
      </c>
      <c r="D6" s="2">
        <v>1128.42</v>
      </c>
      <c r="E6" s="2">
        <f t="shared" ca="1" si="4"/>
        <v>57.392427276683847</v>
      </c>
      <c r="F6" s="11">
        <f t="shared" si="0"/>
        <v>1066.3569</v>
      </c>
      <c r="G6" s="11">
        <f t="shared" si="1"/>
        <v>964.79910000000007</v>
      </c>
    </row>
    <row r="7" spans="1:7" x14ac:dyDescent="0.2">
      <c r="A7" s="59">
        <v>6</v>
      </c>
      <c r="B7" s="2">
        <f t="shared" si="2"/>
        <v>1047.123</v>
      </c>
      <c r="C7" s="2">
        <f t="shared" si="3"/>
        <v>52.356150000000007</v>
      </c>
      <c r="D7" s="2">
        <v>1163.47</v>
      </c>
      <c r="E7" s="2">
        <f t="shared" ca="1" si="4"/>
        <v>53.423621380999897</v>
      </c>
      <c r="F7" s="11">
        <f t="shared" si="0"/>
        <v>1099.4791500000001</v>
      </c>
      <c r="G7" s="11">
        <f t="shared" si="1"/>
        <v>994.76685000000009</v>
      </c>
    </row>
    <row r="8" spans="1:7" x14ac:dyDescent="0.2">
      <c r="A8" s="59">
        <v>7</v>
      </c>
      <c r="B8" s="2">
        <f t="shared" si="2"/>
        <v>1093.9860000000001</v>
      </c>
      <c r="C8" s="2">
        <f t="shared" si="3"/>
        <v>54.699300000000008</v>
      </c>
      <c r="D8" s="2">
        <v>1215.54</v>
      </c>
      <c r="E8" s="2">
        <f t="shared" ca="1" si="4"/>
        <v>51.073691534835369</v>
      </c>
      <c r="F8" s="11">
        <f t="shared" si="0"/>
        <v>1148.6853000000001</v>
      </c>
      <c r="G8" s="11">
        <f t="shared" si="1"/>
        <v>1039.2867000000001</v>
      </c>
    </row>
    <row r="9" spans="1:7" x14ac:dyDescent="0.2">
      <c r="A9" s="59">
        <v>8</v>
      </c>
      <c r="B9" s="2">
        <f t="shared" si="2"/>
        <v>1260.549</v>
      </c>
      <c r="C9" s="2">
        <f t="shared" si="3"/>
        <v>63.027450000000002</v>
      </c>
      <c r="D9" s="2">
        <v>1400.61</v>
      </c>
      <c r="E9" s="2">
        <f t="shared" ca="1" si="4"/>
        <v>58.29832660573971</v>
      </c>
      <c r="F9" s="11">
        <f t="shared" si="0"/>
        <v>1323.57645</v>
      </c>
      <c r="G9" s="11">
        <f t="shared" si="1"/>
        <v>1197.5215499999999</v>
      </c>
    </row>
    <row r="10" spans="1:7" x14ac:dyDescent="0.2">
      <c r="A10" s="59">
        <v>9</v>
      </c>
      <c r="B10" s="2">
        <f t="shared" si="2"/>
        <v>1617.2550000000001</v>
      </c>
      <c r="C10" s="2">
        <f t="shared" si="3"/>
        <v>80.862750000000005</v>
      </c>
      <c r="D10" s="2">
        <v>1796.95</v>
      </c>
      <c r="E10" s="2">
        <f t="shared" ca="1" si="4"/>
        <v>51.98165869356589</v>
      </c>
      <c r="F10" s="11">
        <f t="shared" ref="F10:F17" si="5">B10+C10</f>
        <v>1698.1177500000001</v>
      </c>
      <c r="G10" s="11">
        <f t="shared" ref="G10:G17" si="6">B10-C10</f>
        <v>1536.3922500000001</v>
      </c>
    </row>
    <row r="11" spans="1:7" x14ac:dyDescent="0.2">
      <c r="A11" s="59">
        <v>10</v>
      </c>
      <c r="B11" s="2">
        <f t="shared" si="2"/>
        <v>1867.9409999999998</v>
      </c>
      <c r="C11" s="2">
        <f t="shared" si="3"/>
        <v>93.397049999999993</v>
      </c>
      <c r="D11" s="2">
        <v>2075.4899999999998</v>
      </c>
      <c r="E11" s="2">
        <f t="shared" ca="1" si="4"/>
        <v>59.280208850473343</v>
      </c>
      <c r="F11" s="11">
        <f t="shared" si="5"/>
        <v>1961.3380499999998</v>
      </c>
      <c r="G11" s="11">
        <f t="shared" si="6"/>
        <v>1774.5439499999998</v>
      </c>
    </row>
    <row r="12" spans="1:7" x14ac:dyDescent="0.2">
      <c r="A12" s="59">
        <v>11</v>
      </c>
      <c r="B12" s="2">
        <f t="shared" si="2"/>
        <v>1944.576</v>
      </c>
      <c r="C12" s="2">
        <f t="shared" si="3"/>
        <v>97.228800000000007</v>
      </c>
      <c r="D12" s="2">
        <v>2160.64</v>
      </c>
      <c r="E12" s="2">
        <f t="shared" ca="1" si="4"/>
        <v>54.552661700644556</v>
      </c>
      <c r="F12" s="11">
        <f t="shared" si="5"/>
        <v>2041.8048000000001</v>
      </c>
      <c r="G12" s="11">
        <f t="shared" si="6"/>
        <v>1847.3471999999999</v>
      </c>
    </row>
    <row r="13" spans="1:7" x14ac:dyDescent="0.2">
      <c r="A13" s="59">
        <v>12</v>
      </c>
      <c r="B13" s="2">
        <f t="shared" si="2"/>
        <v>1904.2200000000003</v>
      </c>
      <c r="C13" s="2">
        <f t="shared" si="3"/>
        <v>95.211000000000013</v>
      </c>
      <c r="D13" s="2">
        <v>2115.8000000000002</v>
      </c>
      <c r="E13" s="2">
        <f t="shared" ca="1" si="4"/>
        <v>54.433506683110146</v>
      </c>
      <c r="F13" s="11">
        <f t="shared" si="5"/>
        <v>1999.4310000000003</v>
      </c>
      <c r="G13" s="11">
        <f t="shared" si="6"/>
        <v>1809.0090000000002</v>
      </c>
    </row>
    <row r="14" spans="1:7" x14ac:dyDescent="0.2">
      <c r="A14" s="59">
        <v>13</v>
      </c>
      <c r="B14" s="2">
        <f t="shared" si="2"/>
        <v>1815.03</v>
      </c>
      <c r="C14" s="2">
        <f t="shared" si="3"/>
        <v>90.751500000000007</v>
      </c>
      <c r="D14" s="2">
        <v>2016.7</v>
      </c>
      <c r="E14" s="2">
        <f t="shared" ca="1" si="4"/>
        <v>59.720858342420776</v>
      </c>
      <c r="F14" s="11">
        <f t="shared" si="5"/>
        <v>1905.7815000000001</v>
      </c>
      <c r="G14" s="11">
        <f t="shared" si="6"/>
        <v>1724.2784999999999</v>
      </c>
    </row>
    <row r="15" spans="1:7" x14ac:dyDescent="0.2">
      <c r="A15" s="59">
        <v>14</v>
      </c>
      <c r="B15" s="2">
        <f t="shared" si="2"/>
        <v>1756.377</v>
      </c>
      <c r="C15" s="2">
        <f t="shared" si="3"/>
        <v>87.818849999999998</v>
      </c>
      <c r="D15" s="2">
        <v>1951.53</v>
      </c>
      <c r="E15" s="2">
        <f t="shared" ca="1" si="4"/>
        <v>58.090219252424468</v>
      </c>
      <c r="F15" s="11">
        <f t="shared" si="5"/>
        <v>1844.1958500000001</v>
      </c>
      <c r="G15" s="11">
        <f t="shared" si="6"/>
        <v>1668.5581499999998</v>
      </c>
    </row>
    <row r="16" spans="1:7" x14ac:dyDescent="0.2">
      <c r="A16" s="59">
        <v>15</v>
      </c>
      <c r="B16" s="2">
        <f t="shared" si="2"/>
        <v>1712.079</v>
      </c>
      <c r="C16" s="2">
        <f t="shared" si="3"/>
        <v>85.603949999999998</v>
      </c>
      <c r="D16" s="2">
        <v>1902.31</v>
      </c>
      <c r="E16" s="2">
        <f t="shared" ca="1" si="4"/>
        <v>55.195346621477192</v>
      </c>
      <c r="F16" s="11">
        <f t="shared" si="5"/>
        <v>1797.6829499999999</v>
      </c>
      <c r="G16" s="11">
        <f t="shared" si="6"/>
        <v>1626.47505</v>
      </c>
    </row>
    <row r="17" spans="1:7" x14ac:dyDescent="0.2">
      <c r="A17" s="59">
        <v>16</v>
      </c>
      <c r="B17" s="2">
        <f t="shared" si="2"/>
        <v>1662.768</v>
      </c>
      <c r="C17" s="2">
        <f t="shared" si="3"/>
        <v>83.138400000000004</v>
      </c>
      <c r="D17" s="2">
        <v>1847.52</v>
      </c>
      <c r="E17" s="2">
        <f t="shared" ca="1" si="4"/>
        <v>59.252660969144706</v>
      </c>
      <c r="F17" s="11">
        <f t="shared" si="5"/>
        <v>1745.9064000000001</v>
      </c>
      <c r="G17" s="11">
        <f t="shared" si="6"/>
        <v>1579.6296</v>
      </c>
    </row>
    <row r="18" spans="1:7" x14ac:dyDescent="0.2">
      <c r="A18" s="59">
        <v>17</v>
      </c>
      <c r="B18" s="2">
        <f t="shared" si="2"/>
        <v>1701.441</v>
      </c>
      <c r="C18" s="2">
        <f t="shared" si="3"/>
        <v>85.072050000000004</v>
      </c>
      <c r="D18" s="2">
        <v>1890.49</v>
      </c>
      <c r="E18" s="2">
        <f t="shared" ca="1" si="4"/>
        <v>58.985603196251098</v>
      </c>
      <c r="F18" s="11">
        <f t="shared" ref="F18:F25" si="7">B18+C18</f>
        <v>1786.51305</v>
      </c>
      <c r="G18" s="11">
        <f t="shared" ref="G18:G25" si="8">B18-C18</f>
        <v>1616.36895</v>
      </c>
    </row>
    <row r="19" spans="1:7" x14ac:dyDescent="0.2">
      <c r="A19" s="59">
        <v>18</v>
      </c>
      <c r="B19" s="2">
        <f t="shared" ref="B19:B25" si="9">D19*0.9</f>
        <v>1832.9760000000001</v>
      </c>
      <c r="C19" s="2">
        <f t="shared" ref="C19:C25" si="10">0.05*B19</f>
        <v>91.648800000000008</v>
      </c>
      <c r="D19" s="2">
        <v>2036.64</v>
      </c>
      <c r="E19" s="2">
        <f t="shared" ref="E19:E25" ca="1" si="11">55+10*(RAND()-0.5)</f>
        <v>58.8995076454394</v>
      </c>
      <c r="F19" s="11">
        <f t="shared" si="7"/>
        <v>1924.6248000000001</v>
      </c>
      <c r="G19" s="11">
        <f t="shared" si="8"/>
        <v>1741.3272000000002</v>
      </c>
    </row>
    <row r="20" spans="1:7" x14ac:dyDescent="0.2">
      <c r="A20" s="59">
        <v>19</v>
      </c>
      <c r="B20" s="2">
        <f t="shared" si="9"/>
        <v>1994.1299999999999</v>
      </c>
      <c r="C20" s="2">
        <f t="shared" si="10"/>
        <v>99.706500000000005</v>
      </c>
      <c r="D20" s="2">
        <v>2215.6999999999998</v>
      </c>
      <c r="E20" s="2">
        <f t="shared" ca="1" si="11"/>
        <v>52.386388270713759</v>
      </c>
      <c r="F20" s="11">
        <f t="shared" si="7"/>
        <v>2093.8364999999999</v>
      </c>
      <c r="G20" s="11">
        <f t="shared" si="8"/>
        <v>1894.4234999999999</v>
      </c>
    </row>
    <row r="21" spans="1:7" x14ac:dyDescent="0.2">
      <c r="A21" s="59">
        <v>20</v>
      </c>
      <c r="B21" s="2">
        <f t="shared" si="9"/>
        <v>2138.8679999999999</v>
      </c>
      <c r="C21" s="2">
        <f t="shared" si="10"/>
        <v>106.9434</v>
      </c>
      <c r="D21" s="2">
        <v>2376.52</v>
      </c>
      <c r="E21" s="2">
        <f t="shared" ca="1" si="11"/>
        <v>51.583341149472574</v>
      </c>
      <c r="F21" s="11">
        <f t="shared" si="7"/>
        <v>2245.8114</v>
      </c>
      <c r="G21" s="11">
        <f t="shared" si="8"/>
        <v>2031.9245999999998</v>
      </c>
    </row>
    <row r="22" spans="1:7" x14ac:dyDescent="0.2">
      <c r="A22" s="59">
        <v>21</v>
      </c>
      <c r="B22" s="2">
        <f t="shared" si="9"/>
        <v>2030.9670000000001</v>
      </c>
      <c r="C22" s="2">
        <f t="shared" si="10"/>
        <v>101.54835000000001</v>
      </c>
      <c r="D22" s="2">
        <v>2256.63</v>
      </c>
      <c r="E22" s="2">
        <f t="shared" ca="1" si="11"/>
        <v>58.328497799585122</v>
      </c>
      <c r="F22" s="11">
        <f t="shared" si="7"/>
        <v>2132.5153500000001</v>
      </c>
      <c r="G22" s="11">
        <f t="shared" si="8"/>
        <v>1929.4186500000001</v>
      </c>
    </row>
    <row r="23" spans="1:7" x14ac:dyDescent="0.2">
      <c r="A23" s="59">
        <v>22</v>
      </c>
      <c r="B23" s="2">
        <f t="shared" si="9"/>
        <v>1833.9570000000001</v>
      </c>
      <c r="C23" s="2">
        <f t="shared" si="10"/>
        <v>91.697850000000017</v>
      </c>
      <c r="D23" s="2">
        <v>2037.73</v>
      </c>
      <c r="E23" s="2">
        <f t="shared" ca="1" si="11"/>
        <v>51.42746868715561</v>
      </c>
      <c r="F23" s="11">
        <f t="shared" si="7"/>
        <v>1925.6548500000001</v>
      </c>
      <c r="G23" s="11">
        <f t="shared" si="8"/>
        <v>1742.2591500000001</v>
      </c>
    </row>
    <row r="24" spans="1:7" x14ac:dyDescent="0.2">
      <c r="A24" s="59">
        <v>23</v>
      </c>
      <c r="B24" s="2">
        <f t="shared" si="9"/>
        <v>1648.1969999999999</v>
      </c>
      <c r="C24" s="2">
        <f t="shared" si="10"/>
        <v>82.409850000000006</v>
      </c>
      <c r="D24" s="2">
        <v>1831.33</v>
      </c>
      <c r="E24" s="2">
        <f t="shared" ca="1" si="11"/>
        <v>53.783384582168544</v>
      </c>
      <c r="F24" s="11">
        <f t="shared" si="7"/>
        <v>1730.6068499999999</v>
      </c>
      <c r="G24" s="11">
        <f t="shared" si="8"/>
        <v>1565.7871499999999</v>
      </c>
    </row>
    <row r="25" spans="1:7" x14ac:dyDescent="0.2">
      <c r="A25" s="59">
        <v>24</v>
      </c>
      <c r="B25" s="2">
        <f t="shared" si="9"/>
        <v>1422.63</v>
      </c>
      <c r="C25" s="2">
        <f t="shared" si="10"/>
        <v>71.131500000000003</v>
      </c>
      <c r="D25" s="2">
        <v>1580.7</v>
      </c>
      <c r="E25" s="2">
        <f t="shared" ca="1" si="11"/>
        <v>50.493164001723187</v>
      </c>
      <c r="F25" s="11">
        <f t="shared" si="7"/>
        <v>1493.7615000000001</v>
      </c>
      <c r="G25" s="11">
        <f t="shared" si="8"/>
        <v>1351.4985000000001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7C4E-2721-49A9-8F2D-2958AD4E897C}">
  <dimension ref="A1:L47"/>
  <sheetViews>
    <sheetView workbookViewId="0"/>
  </sheetViews>
  <sheetFormatPr defaultColWidth="8.875" defaultRowHeight="15.75" x14ac:dyDescent="0.2"/>
  <cols>
    <col min="1" max="1" width="10.5" style="8" bestFit="1" customWidth="1"/>
    <col min="2" max="3" width="8.875" style="8"/>
    <col min="4" max="4" width="15.25" style="8" bestFit="1" customWidth="1"/>
    <col min="5" max="5" width="15.25" style="8" customWidth="1"/>
    <col min="6" max="6" width="17.75" style="8" bestFit="1" customWidth="1"/>
    <col min="7" max="7" width="8.625" style="8" customWidth="1"/>
    <col min="8" max="8" width="11.875" style="8" customWidth="1"/>
    <col min="9" max="10" width="18.125" style="8" bestFit="1" customWidth="1"/>
    <col min="11" max="11" width="14.375" style="8" bestFit="1" customWidth="1"/>
    <col min="12" max="12" width="59.25" style="8" bestFit="1" customWidth="1"/>
    <col min="13" max="16384" width="8.875" style="8"/>
  </cols>
  <sheetData>
    <row r="1" spans="1:12" x14ac:dyDescent="0.2">
      <c r="A1" s="8" t="s">
        <v>27</v>
      </c>
      <c r="B1" s="8" t="s">
        <v>28</v>
      </c>
      <c r="C1" s="8" t="s">
        <v>29</v>
      </c>
      <c r="D1" s="8" t="s">
        <v>50</v>
      </c>
      <c r="E1" s="8" t="s">
        <v>45</v>
      </c>
      <c r="F1" s="8" t="s">
        <v>46</v>
      </c>
    </row>
    <row r="2" spans="1:12" x14ac:dyDescent="0.2">
      <c r="A2" s="8">
        <v>1</v>
      </c>
      <c r="B2" s="8">
        <v>1</v>
      </c>
      <c r="C2" s="8">
        <v>2</v>
      </c>
      <c r="D2" s="7">
        <f>E2*0.304</f>
        <v>20.903868698174296</v>
      </c>
      <c r="E2" s="2">
        <v>68.762725980836507</v>
      </c>
      <c r="F2" s="8">
        <f ca="1">80+40*(RAND()-0.5)</f>
        <v>60.704138873884446</v>
      </c>
      <c r="H2" s="8" t="s">
        <v>40</v>
      </c>
      <c r="I2" s="8" t="s">
        <v>41</v>
      </c>
      <c r="J2" s="8" t="s">
        <v>42</v>
      </c>
      <c r="K2" s="8" t="s">
        <v>47</v>
      </c>
      <c r="L2" s="8" t="s">
        <v>48</v>
      </c>
    </row>
    <row r="3" spans="1:12" x14ac:dyDescent="0.2">
      <c r="A3" s="8">
        <v>2</v>
      </c>
      <c r="B3" s="8">
        <v>1</v>
      </c>
      <c r="C3" s="8">
        <v>39</v>
      </c>
      <c r="D3" s="7">
        <f t="shared" ref="D3:D47" si="0">E3*0.304</f>
        <v>20.706006912798646</v>
      </c>
      <c r="E3" s="2">
        <v>68.111864844732395</v>
      </c>
      <c r="F3" s="8">
        <f t="shared" ref="F3:F47" ca="1" si="1">80+40*(RAND()-0.5)</f>
        <v>91.030365210930995</v>
      </c>
      <c r="H3" s="70" t="s">
        <v>44</v>
      </c>
      <c r="I3" s="8">
        <v>0.05</v>
      </c>
      <c r="J3" s="8">
        <v>0.41699999999999998</v>
      </c>
      <c r="K3" s="8">
        <v>330</v>
      </c>
      <c r="L3" s="8" t="s">
        <v>49</v>
      </c>
    </row>
    <row r="4" spans="1:12" x14ac:dyDescent="0.2">
      <c r="A4" s="8">
        <v>3</v>
      </c>
      <c r="B4" s="8">
        <v>2</v>
      </c>
      <c r="C4" s="8">
        <v>3</v>
      </c>
      <c r="D4" s="7">
        <f t="shared" si="0"/>
        <v>28.271482633953681</v>
      </c>
      <c r="E4" s="2">
        <v>92.998298138005538</v>
      </c>
      <c r="F4" s="8">
        <f t="shared" ca="1" si="1"/>
        <v>71.067741998272467</v>
      </c>
      <c r="H4" s="70"/>
      <c r="I4" s="8">
        <v>5.2499999999999998E-2</v>
      </c>
      <c r="J4" s="8">
        <v>0.32</v>
      </c>
      <c r="K4" s="8">
        <v>330</v>
      </c>
      <c r="L4" s="8" t="s">
        <v>49</v>
      </c>
    </row>
    <row r="5" spans="1:12" x14ac:dyDescent="0.2">
      <c r="A5" s="8">
        <v>4</v>
      </c>
      <c r="B5" s="8">
        <v>2</v>
      </c>
      <c r="C5" s="8">
        <v>25</v>
      </c>
      <c r="D5" s="7">
        <f t="shared" si="0"/>
        <v>28.153897619232492</v>
      </c>
      <c r="E5" s="2">
        <v>92.611505326422673</v>
      </c>
      <c r="F5" s="8">
        <f t="shared" ca="1" si="1"/>
        <v>78.033663234441164</v>
      </c>
      <c r="H5" s="70"/>
      <c r="I5" s="8">
        <v>5.2499999999999998E-2</v>
      </c>
      <c r="J5" s="8">
        <v>0.316</v>
      </c>
      <c r="K5" s="8">
        <v>330</v>
      </c>
      <c r="L5" s="8" t="s">
        <v>49</v>
      </c>
    </row>
    <row r="6" spans="1:12" x14ac:dyDescent="0.2">
      <c r="A6" s="8">
        <v>5</v>
      </c>
      <c r="B6" s="8">
        <v>2</v>
      </c>
      <c r="C6" s="8">
        <v>30</v>
      </c>
      <c r="D6" s="7">
        <f t="shared" si="0"/>
        <v>19.398692609716861</v>
      </c>
      <c r="E6" s="2">
        <v>63.811488847752827</v>
      </c>
      <c r="F6" s="8">
        <f t="shared" ca="1" si="1"/>
        <v>98.603733271359459</v>
      </c>
      <c r="H6" s="70"/>
      <c r="I6" s="8">
        <v>7.8750000000000001E-2</v>
      </c>
      <c r="J6" s="8">
        <v>0.40500000000000003</v>
      </c>
      <c r="K6" s="8">
        <v>220</v>
      </c>
      <c r="L6" s="8" t="s">
        <v>49</v>
      </c>
    </row>
    <row r="7" spans="1:12" x14ac:dyDescent="0.2">
      <c r="A7" s="8">
        <v>6</v>
      </c>
      <c r="B7" s="8">
        <v>3</v>
      </c>
      <c r="C7" s="8">
        <v>4</v>
      </c>
      <c r="D7" s="7">
        <f t="shared" si="0"/>
        <v>29.75920476481803</v>
      </c>
      <c r="E7" s="2">
        <v>97.892120936901421</v>
      </c>
      <c r="F7" s="8">
        <f t="shared" ca="1" si="1"/>
        <v>65.189901793203703</v>
      </c>
      <c r="H7" s="70"/>
      <c r="I7" s="13">
        <v>0.04</v>
      </c>
      <c r="J7" s="13">
        <v>0.30399999999999999</v>
      </c>
      <c r="K7" s="8">
        <v>220</v>
      </c>
      <c r="L7" s="8" t="s">
        <v>43</v>
      </c>
    </row>
    <row r="8" spans="1:12" x14ac:dyDescent="0.2">
      <c r="A8" s="8">
        <v>7</v>
      </c>
      <c r="B8" s="8">
        <v>3</v>
      </c>
      <c r="C8" s="8">
        <v>18</v>
      </c>
      <c r="D8" s="7">
        <f t="shared" si="0"/>
        <v>30.058881139331543</v>
      </c>
      <c r="E8" s="2">
        <v>98.877898484643239</v>
      </c>
      <c r="F8" s="8">
        <f t="shared" ca="1" si="1"/>
        <v>98.332348437715765</v>
      </c>
      <c r="H8" s="70"/>
      <c r="I8" s="8">
        <v>1.2500000000000001E-2</v>
      </c>
      <c r="J8" s="8">
        <v>0.26350000000000001</v>
      </c>
      <c r="K8" s="8">
        <v>500</v>
      </c>
      <c r="L8" s="8" t="s">
        <v>43</v>
      </c>
    </row>
    <row r="9" spans="1:12" x14ac:dyDescent="0.2">
      <c r="A9" s="8">
        <v>8</v>
      </c>
      <c r="B9" s="8">
        <v>4</v>
      </c>
      <c r="C9" s="8">
        <v>5</v>
      </c>
      <c r="D9" s="7">
        <f t="shared" si="0"/>
        <v>22.708041107943281</v>
      </c>
      <c r="E9" s="2">
        <v>74.697503644550267</v>
      </c>
      <c r="F9" s="8">
        <f t="shared" ca="1" si="1"/>
        <v>63.773035347527724</v>
      </c>
      <c r="H9" s="70"/>
      <c r="I9" s="8">
        <v>1.333E-2</v>
      </c>
      <c r="J9" s="8">
        <v>0.20220399999999999</v>
      </c>
      <c r="K9" s="8">
        <v>500</v>
      </c>
      <c r="L9" s="8" t="s">
        <v>43</v>
      </c>
    </row>
    <row r="10" spans="1:12" x14ac:dyDescent="0.2">
      <c r="A10" s="8">
        <v>9</v>
      </c>
      <c r="B10" s="8">
        <v>4</v>
      </c>
      <c r="C10" s="8">
        <v>14</v>
      </c>
      <c r="D10" s="7">
        <f t="shared" si="0"/>
        <v>19.755946465064575</v>
      </c>
      <c r="E10" s="2">
        <v>64.986666003501895</v>
      </c>
      <c r="F10" s="8">
        <f t="shared" ca="1" si="1"/>
        <v>81.980120671191301</v>
      </c>
      <c r="H10" s="70"/>
      <c r="I10" s="8">
        <v>1.78E-2</v>
      </c>
      <c r="J10" s="8">
        <v>0.31390000000000001</v>
      </c>
      <c r="K10" s="8">
        <v>500</v>
      </c>
      <c r="L10" s="8" t="s">
        <v>43</v>
      </c>
    </row>
    <row r="11" spans="1:12" x14ac:dyDescent="0.2">
      <c r="A11" s="8">
        <v>10</v>
      </c>
      <c r="B11" s="8">
        <v>5</v>
      </c>
      <c r="C11" s="8">
        <v>6</v>
      </c>
      <c r="D11" s="7">
        <f t="shared" si="0"/>
        <v>19.573324095588564</v>
      </c>
      <c r="E11" s="2">
        <v>64.38593452496238</v>
      </c>
      <c r="F11" s="8">
        <f t="shared" ca="1" si="1"/>
        <v>98.349011322200894</v>
      </c>
      <c r="H11" s="70"/>
      <c r="I11" s="8">
        <v>7.4000000000000003E-3</v>
      </c>
      <c r="J11" s="8">
        <v>0.2651</v>
      </c>
      <c r="K11" s="8">
        <v>1000</v>
      </c>
      <c r="L11" s="8" t="s">
        <v>43</v>
      </c>
    </row>
    <row r="12" spans="1:12" x14ac:dyDescent="0.2">
      <c r="A12" s="8">
        <v>11</v>
      </c>
      <c r="B12" s="8">
        <v>5</v>
      </c>
      <c r="C12" s="8">
        <v>8</v>
      </c>
      <c r="D12" s="7">
        <f t="shared" si="0"/>
        <v>26.11875959065436</v>
      </c>
      <c r="E12" s="2">
        <v>85.916972337678814</v>
      </c>
      <c r="F12" s="8">
        <f t="shared" ca="1" si="1"/>
        <v>79.303013899290448</v>
      </c>
    </row>
    <row r="13" spans="1:12" x14ac:dyDescent="0.2">
      <c r="A13" s="8">
        <v>12</v>
      </c>
      <c r="B13" s="8">
        <v>6</v>
      </c>
      <c r="C13" s="8">
        <v>7</v>
      </c>
      <c r="D13" s="7">
        <f t="shared" si="0"/>
        <v>24.642694509021403</v>
      </c>
      <c r="E13" s="2">
        <v>81.061495095465148</v>
      </c>
      <c r="F13" s="8">
        <f t="shared" ca="1" si="1"/>
        <v>97.669830845182148</v>
      </c>
    </row>
    <row r="14" spans="1:12" x14ac:dyDescent="0.2">
      <c r="A14" s="8">
        <v>13</v>
      </c>
      <c r="B14" s="8">
        <v>6</v>
      </c>
      <c r="C14" s="8">
        <v>11</v>
      </c>
      <c r="D14" s="7">
        <f t="shared" si="0"/>
        <v>21.05686297804386</v>
      </c>
      <c r="E14" s="2">
        <v>69.26599663830217</v>
      </c>
      <c r="F14" s="8">
        <f t="shared" ca="1" si="1"/>
        <v>84.739532307131356</v>
      </c>
      <c r="J14" s="12"/>
    </row>
    <row r="15" spans="1:12" x14ac:dyDescent="0.2">
      <c r="A15" s="8">
        <v>14</v>
      </c>
      <c r="B15" s="8">
        <v>6</v>
      </c>
      <c r="C15" s="8">
        <v>31</v>
      </c>
      <c r="D15" s="7">
        <f t="shared" si="0"/>
        <v>29.512615144937154</v>
      </c>
      <c r="E15" s="2">
        <v>97.080970871503794</v>
      </c>
      <c r="F15" s="8">
        <f t="shared" ca="1" si="1"/>
        <v>90.382300727650744</v>
      </c>
    </row>
    <row r="16" spans="1:12" x14ac:dyDescent="0.2">
      <c r="A16" s="8">
        <v>15</v>
      </c>
      <c r="B16" s="8">
        <v>7</v>
      </c>
      <c r="C16" s="8">
        <v>8</v>
      </c>
      <c r="D16" s="7">
        <f t="shared" si="0"/>
        <v>21.317800244753652</v>
      </c>
      <c r="E16" s="2">
        <v>70.124342910373855</v>
      </c>
      <c r="F16" s="8">
        <f t="shared" ca="1" si="1"/>
        <v>96.927900678040515</v>
      </c>
    </row>
    <row r="17" spans="1:6" x14ac:dyDescent="0.2">
      <c r="A17" s="8">
        <v>16</v>
      </c>
      <c r="B17" s="8">
        <v>8</v>
      </c>
      <c r="C17" s="8">
        <v>9</v>
      </c>
      <c r="D17" s="7">
        <f t="shared" si="0"/>
        <v>18.905068903987882</v>
      </c>
      <c r="E17" s="2">
        <v>62.187726657854874</v>
      </c>
      <c r="F17" s="8">
        <f t="shared" ca="1" si="1"/>
        <v>74.942469540582849</v>
      </c>
    </row>
    <row r="18" spans="1:6" x14ac:dyDescent="0.2">
      <c r="A18" s="8">
        <v>17</v>
      </c>
      <c r="B18" s="8">
        <v>9</v>
      </c>
      <c r="C18" s="8">
        <v>39</v>
      </c>
      <c r="D18" s="7">
        <f t="shared" si="0"/>
        <v>19.263084568806057</v>
      </c>
      <c r="E18" s="2">
        <v>63.365409765809403</v>
      </c>
      <c r="F18" s="8">
        <f t="shared" ca="1" si="1"/>
        <v>68.610979277907873</v>
      </c>
    </row>
    <row r="19" spans="1:6" x14ac:dyDescent="0.2">
      <c r="A19" s="8">
        <v>18</v>
      </c>
      <c r="B19" s="8">
        <v>10</v>
      </c>
      <c r="C19" s="8">
        <v>11</v>
      </c>
      <c r="D19" s="7">
        <f t="shared" si="0"/>
        <v>19.722838369603892</v>
      </c>
      <c r="E19" s="2">
        <v>64.877757794749641</v>
      </c>
      <c r="F19" s="8">
        <f t="shared" ca="1" si="1"/>
        <v>81.613748435867535</v>
      </c>
    </row>
    <row r="20" spans="1:6" x14ac:dyDescent="0.2">
      <c r="A20" s="8">
        <v>19</v>
      </c>
      <c r="B20" s="8">
        <v>10</v>
      </c>
      <c r="C20" s="8">
        <v>13</v>
      </c>
      <c r="D20" s="7">
        <f t="shared" si="0"/>
        <v>22.886644810500997</v>
      </c>
      <c r="E20" s="2">
        <v>75.28501582401644</v>
      </c>
      <c r="F20" s="8">
        <f t="shared" ca="1" si="1"/>
        <v>67.01256869711591</v>
      </c>
    </row>
    <row r="21" spans="1:6" x14ac:dyDescent="0.2">
      <c r="A21" s="8">
        <v>20</v>
      </c>
      <c r="B21" s="8">
        <v>10</v>
      </c>
      <c r="C21" s="8">
        <v>32</v>
      </c>
      <c r="D21" s="7">
        <f t="shared" si="0"/>
        <v>24.760724312113236</v>
      </c>
      <c r="E21" s="2">
        <v>81.449751026688276</v>
      </c>
      <c r="F21" s="8">
        <f t="shared" ca="1" si="1"/>
        <v>93.720926626892663</v>
      </c>
    </row>
    <row r="22" spans="1:6" x14ac:dyDescent="0.2">
      <c r="A22" s="8">
        <v>21</v>
      </c>
      <c r="B22" s="8">
        <v>11</v>
      </c>
      <c r="C22" s="8">
        <v>12</v>
      </c>
      <c r="D22" s="7">
        <f t="shared" si="0"/>
        <v>25.517103003234109</v>
      </c>
      <c r="E22" s="2">
        <v>83.937838826427992</v>
      </c>
      <c r="F22" s="8">
        <f t="shared" ca="1" si="1"/>
        <v>91.566050523514761</v>
      </c>
    </row>
    <row r="23" spans="1:6" x14ac:dyDescent="0.2">
      <c r="A23" s="8">
        <v>22</v>
      </c>
      <c r="B23" s="8">
        <v>12</v>
      </c>
      <c r="C23" s="8">
        <v>13</v>
      </c>
      <c r="D23" s="7">
        <f t="shared" si="0"/>
        <v>27.154050226685811</v>
      </c>
      <c r="E23" s="2">
        <v>89.322533640413852</v>
      </c>
      <c r="F23" s="8">
        <f t="shared" ca="1" si="1"/>
        <v>89.8428588795595</v>
      </c>
    </row>
    <row r="24" spans="1:6" x14ac:dyDescent="0.2">
      <c r="A24" s="8">
        <v>23</v>
      </c>
      <c r="B24" s="8">
        <v>13</v>
      </c>
      <c r="C24" s="8">
        <v>14</v>
      </c>
      <c r="D24" s="7">
        <f t="shared" si="0"/>
        <v>21.041387238842429</v>
      </c>
      <c r="E24" s="2">
        <v>69.215089601455361</v>
      </c>
      <c r="F24" s="8">
        <f t="shared" ca="1" si="1"/>
        <v>99.54256479745159</v>
      </c>
    </row>
    <row r="25" spans="1:6" x14ac:dyDescent="0.2">
      <c r="A25" s="8">
        <v>24</v>
      </c>
      <c r="B25" s="8">
        <v>14</v>
      </c>
      <c r="C25" s="8">
        <v>15</v>
      </c>
      <c r="D25" s="7">
        <f t="shared" si="0"/>
        <v>27.471108814930751</v>
      </c>
      <c r="E25" s="2">
        <v>90.365489522798526</v>
      </c>
      <c r="F25" s="8">
        <f t="shared" ca="1" si="1"/>
        <v>95.091806691966028</v>
      </c>
    </row>
    <row r="26" spans="1:6" x14ac:dyDescent="0.2">
      <c r="A26" s="8">
        <v>25</v>
      </c>
      <c r="B26" s="8">
        <v>15</v>
      </c>
      <c r="C26" s="8">
        <v>16</v>
      </c>
      <c r="D26" s="7">
        <f t="shared" si="0"/>
        <v>23.233199583500099</v>
      </c>
      <c r="E26" s="2">
        <v>76.424998629934535</v>
      </c>
      <c r="F26" s="8">
        <f t="shared" ca="1" si="1"/>
        <v>83.719976270428518</v>
      </c>
    </row>
    <row r="27" spans="1:6" x14ac:dyDescent="0.2">
      <c r="A27" s="8">
        <v>26</v>
      </c>
      <c r="B27" s="8">
        <v>16</v>
      </c>
      <c r="C27" s="8">
        <v>17</v>
      </c>
      <c r="D27" s="7">
        <f t="shared" si="0"/>
        <v>26.984897859932119</v>
      </c>
      <c r="E27" s="2">
        <v>88.766111381355657</v>
      </c>
      <c r="F27" s="8">
        <f t="shared" ca="1" si="1"/>
        <v>73.681346365789921</v>
      </c>
    </row>
    <row r="28" spans="1:6" x14ac:dyDescent="0.2">
      <c r="A28" s="8">
        <v>27</v>
      </c>
      <c r="B28" s="8">
        <v>16</v>
      </c>
      <c r="C28" s="8">
        <v>19</v>
      </c>
      <c r="D28" s="7">
        <f t="shared" si="0"/>
        <v>29.315271833576926</v>
      </c>
      <c r="E28" s="2">
        <v>96.431815242029359</v>
      </c>
      <c r="F28" s="8">
        <f t="shared" ca="1" si="1"/>
        <v>92.708610515528875</v>
      </c>
    </row>
    <row r="29" spans="1:6" x14ac:dyDescent="0.2">
      <c r="A29" s="8">
        <v>28</v>
      </c>
      <c r="B29" s="8">
        <v>16</v>
      </c>
      <c r="C29" s="8">
        <v>21</v>
      </c>
      <c r="D29" s="7">
        <f t="shared" si="0"/>
        <v>25.361647691603924</v>
      </c>
      <c r="E29" s="2">
        <v>83.426472669749757</v>
      </c>
      <c r="F29" s="8">
        <f t="shared" ca="1" si="1"/>
        <v>82.072302737270633</v>
      </c>
    </row>
    <row r="30" spans="1:6" x14ac:dyDescent="0.2">
      <c r="A30" s="8">
        <v>29</v>
      </c>
      <c r="B30" s="8">
        <v>16</v>
      </c>
      <c r="C30" s="8">
        <v>24</v>
      </c>
      <c r="D30" s="7">
        <f t="shared" si="0"/>
        <v>23.356099164374609</v>
      </c>
      <c r="E30" s="2">
        <v>76.829273567021744</v>
      </c>
      <c r="F30" s="8">
        <f t="shared" ca="1" si="1"/>
        <v>99.805700404135507</v>
      </c>
    </row>
    <row r="31" spans="1:6" x14ac:dyDescent="0.2">
      <c r="A31" s="8">
        <v>30</v>
      </c>
      <c r="B31" s="8">
        <v>17</v>
      </c>
      <c r="C31" s="8">
        <v>18</v>
      </c>
      <c r="D31" s="7">
        <f t="shared" si="0"/>
        <v>28.656942354624828</v>
      </c>
      <c r="E31" s="2">
        <v>94.266257745476409</v>
      </c>
      <c r="F31" s="8">
        <f t="shared" ca="1" si="1"/>
        <v>73.285637070373213</v>
      </c>
    </row>
    <row r="32" spans="1:6" x14ac:dyDescent="0.2">
      <c r="A32" s="8">
        <v>31</v>
      </c>
      <c r="B32" s="8">
        <v>17</v>
      </c>
      <c r="C32" s="8">
        <v>27</v>
      </c>
      <c r="D32" s="7">
        <f t="shared" si="0"/>
        <v>18.410195663290914</v>
      </c>
      <c r="E32" s="2">
        <v>60.559854155562221</v>
      </c>
      <c r="F32" s="8">
        <f t="shared" ca="1" si="1"/>
        <v>84.518117134413103</v>
      </c>
    </row>
    <row r="33" spans="1:6" x14ac:dyDescent="0.2">
      <c r="A33" s="8">
        <v>32</v>
      </c>
      <c r="B33" s="8">
        <v>19</v>
      </c>
      <c r="C33" s="8">
        <v>20</v>
      </c>
      <c r="D33" s="7">
        <f t="shared" si="0"/>
        <v>29.030611938150912</v>
      </c>
      <c r="E33" s="2">
        <v>95.495434007075374</v>
      </c>
      <c r="F33" s="8">
        <f t="shared" ca="1" si="1"/>
        <v>64.444925069036131</v>
      </c>
    </row>
    <row r="34" spans="1:6" x14ac:dyDescent="0.2">
      <c r="A34" s="8">
        <v>33</v>
      </c>
      <c r="B34" s="8">
        <v>19</v>
      </c>
      <c r="C34" s="8">
        <v>34</v>
      </c>
      <c r="D34" s="7">
        <f t="shared" si="0"/>
        <v>29.795456400263529</v>
      </c>
      <c r="E34" s="2">
        <v>98.011369737708975</v>
      </c>
      <c r="F34" s="8">
        <f t="shared" ca="1" si="1"/>
        <v>72.717802329869173</v>
      </c>
    </row>
    <row r="35" spans="1:6" x14ac:dyDescent="0.2">
      <c r="A35" s="8">
        <v>34</v>
      </c>
      <c r="B35" s="8">
        <v>20</v>
      </c>
      <c r="C35" s="8">
        <v>33</v>
      </c>
      <c r="D35" s="7">
        <f t="shared" si="0"/>
        <v>28.972394453236515</v>
      </c>
      <c r="E35" s="2">
        <v>95.30392912248854</v>
      </c>
      <c r="F35" s="8">
        <f t="shared" ca="1" si="1"/>
        <v>86.963102505980586</v>
      </c>
    </row>
    <row r="36" spans="1:6" x14ac:dyDescent="0.2">
      <c r="A36" s="8">
        <v>35</v>
      </c>
      <c r="B36" s="8">
        <v>21</v>
      </c>
      <c r="C36" s="8">
        <v>22</v>
      </c>
      <c r="D36" s="7">
        <f t="shared" si="0"/>
        <v>24.31092918156979</v>
      </c>
      <c r="E36" s="2">
        <v>79.970161781479575</v>
      </c>
      <c r="F36" s="8">
        <f t="shared" ca="1" si="1"/>
        <v>68.617555055355865</v>
      </c>
    </row>
    <row r="37" spans="1:6" x14ac:dyDescent="0.2">
      <c r="A37" s="8">
        <v>36</v>
      </c>
      <c r="B37" s="8">
        <v>22</v>
      </c>
      <c r="C37" s="8">
        <v>23</v>
      </c>
      <c r="D37" s="7">
        <f t="shared" si="0"/>
        <v>26.447645165725859</v>
      </c>
      <c r="E37" s="2">
        <v>86.998832781992959</v>
      </c>
      <c r="F37" s="8">
        <f t="shared" ca="1" si="1"/>
        <v>91.679615492311626</v>
      </c>
    </row>
    <row r="38" spans="1:6" x14ac:dyDescent="0.2">
      <c r="A38" s="8">
        <v>37</v>
      </c>
      <c r="B38" s="8">
        <v>22</v>
      </c>
      <c r="C38" s="8">
        <v>35</v>
      </c>
      <c r="D38" s="7">
        <f t="shared" si="0"/>
        <v>25.906951940807573</v>
      </c>
      <c r="E38" s="2">
        <v>85.220236647393335</v>
      </c>
      <c r="F38" s="8">
        <f t="shared" ca="1" si="1"/>
        <v>66.715629732061046</v>
      </c>
    </row>
    <row r="39" spans="1:6" x14ac:dyDescent="0.2">
      <c r="A39" s="8">
        <v>38</v>
      </c>
      <c r="B39" s="8">
        <v>23</v>
      </c>
      <c r="C39" s="8">
        <v>24</v>
      </c>
      <c r="D39" s="7">
        <f t="shared" si="0"/>
        <v>21.2463484026737</v>
      </c>
      <c r="E39" s="2">
        <v>69.889303956163488</v>
      </c>
      <c r="F39" s="8">
        <f t="shared" ca="1" si="1"/>
        <v>80.63440678080309</v>
      </c>
    </row>
    <row r="40" spans="1:6" x14ac:dyDescent="0.2">
      <c r="A40" s="8">
        <v>39</v>
      </c>
      <c r="B40" s="8">
        <v>23</v>
      </c>
      <c r="C40" s="8">
        <v>36</v>
      </c>
      <c r="D40" s="7">
        <f t="shared" si="0"/>
        <v>29.72989454784059</v>
      </c>
      <c r="E40" s="2">
        <v>97.79570574947563</v>
      </c>
      <c r="F40" s="8">
        <f t="shared" ca="1" si="1"/>
        <v>67.751325488376551</v>
      </c>
    </row>
    <row r="41" spans="1:6" x14ac:dyDescent="0.2">
      <c r="A41" s="8">
        <v>40</v>
      </c>
      <c r="B41" s="8">
        <v>25</v>
      </c>
      <c r="C41" s="8">
        <v>26</v>
      </c>
      <c r="D41" s="7">
        <f t="shared" si="0"/>
        <v>23.904042041120231</v>
      </c>
      <c r="E41" s="2">
        <v>78.631717240527081</v>
      </c>
      <c r="F41" s="8">
        <f t="shared" ca="1" si="1"/>
        <v>71.874820596300708</v>
      </c>
    </row>
    <row r="42" spans="1:6" x14ac:dyDescent="0.2">
      <c r="A42" s="8">
        <v>41</v>
      </c>
      <c r="B42" s="8">
        <v>25</v>
      </c>
      <c r="C42" s="8">
        <v>37</v>
      </c>
      <c r="D42" s="7">
        <f t="shared" si="0"/>
        <v>25.831140359985401</v>
      </c>
      <c r="E42" s="2">
        <v>84.970856447320401</v>
      </c>
      <c r="F42" s="8">
        <f t="shared" ca="1" si="1"/>
        <v>86.324699791936879</v>
      </c>
    </row>
    <row r="43" spans="1:6" x14ac:dyDescent="0.2">
      <c r="A43" s="8">
        <v>42</v>
      </c>
      <c r="B43" s="8">
        <v>26</v>
      </c>
      <c r="C43" s="8">
        <v>27</v>
      </c>
      <c r="D43" s="7">
        <f t="shared" si="0"/>
        <v>30.39844355768194</v>
      </c>
      <c r="E43" s="2">
        <v>99.994880123953749</v>
      </c>
      <c r="F43" s="8">
        <f t="shared" ca="1" si="1"/>
        <v>81.156793750035803</v>
      </c>
    </row>
    <row r="44" spans="1:6" x14ac:dyDescent="0.2">
      <c r="A44" s="8">
        <v>43</v>
      </c>
      <c r="B44" s="8">
        <v>26</v>
      </c>
      <c r="C44" s="8">
        <v>28</v>
      </c>
      <c r="D44" s="7">
        <f t="shared" si="0"/>
        <v>21.664748382945962</v>
      </c>
      <c r="E44" s="2">
        <v>71.265619680743299</v>
      </c>
      <c r="F44" s="8">
        <f t="shared" ca="1" si="1"/>
        <v>86.907881288154641</v>
      </c>
    </row>
    <row r="45" spans="1:6" x14ac:dyDescent="0.2">
      <c r="A45" s="8">
        <v>44</v>
      </c>
      <c r="B45" s="8">
        <v>26</v>
      </c>
      <c r="C45" s="8">
        <v>29</v>
      </c>
      <c r="D45" s="7">
        <f t="shared" si="0"/>
        <v>23.523658116172111</v>
      </c>
      <c r="E45" s="2">
        <v>77.380454329513526</v>
      </c>
      <c r="F45" s="8">
        <f t="shared" ca="1" si="1"/>
        <v>96.200520191945827</v>
      </c>
    </row>
    <row r="46" spans="1:6" x14ac:dyDescent="0.2">
      <c r="A46" s="8">
        <v>45</v>
      </c>
      <c r="B46" s="8">
        <v>28</v>
      </c>
      <c r="C46" s="8">
        <v>29</v>
      </c>
      <c r="D46" s="7">
        <f t="shared" si="0"/>
        <v>20.596284421629125</v>
      </c>
      <c r="E46" s="2">
        <v>67.750935597464235</v>
      </c>
      <c r="F46" s="8">
        <f t="shared" ca="1" si="1"/>
        <v>99.406150056841739</v>
      </c>
    </row>
    <row r="47" spans="1:6" x14ac:dyDescent="0.2">
      <c r="A47" s="8">
        <v>46</v>
      </c>
      <c r="B47" s="8">
        <v>29</v>
      </c>
      <c r="C47" s="8">
        <v>38</v>
      </c>
      <c r="D47" s="7">
        <f t="shared" si="0"/>
        <v>23.157452473912294</v>
      </c>
      <c r="E47" s="2">
        <v>76.175830506290438</v>
      </c>
      <c r="F47" s="8">
        <f t="shared" ca="1" si="1"/>
        <v>61.240287755959308</v>
      </c>
    </row>
  </sheetData>
  <mergeCells count="1">
    <mergeCell ref="H3:H1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3189-F927-4F4E-96E6-5235C63F50C1}">
  <dimension ref="A1:I41"/>
  <sheetViews>
    <sheetView workbookViewId="0">
      <selection sqref="A1:A2"/>
    </sheetView>
  </sheetViews>
  <sheetFormatPr defaultColWidth="8.875" defaultRowHeight="15.75" x14ac:dyDescent="0.2"/>
  <cols>
    <col min="1" max="1" width="10.5" style="15" bestFit="1" customWidth="1"/>
    <col min="2" max="2" width="15.375" style="16" bestFit="1" customWidth="1"/>
    <col min="3" max="4" width="10.5" style="15" bestFit="1" customWidth="1"/>
    <col min="5" max="7" width="8.875" style="15"/>
    <col min="8" max="8" width="15.375" style="15" bestFit="1" customWidth="1"/>
    <col min="9" max="9" width="17.75" style="15" bestFit="1" customWidth="1"/>
    <col min="10" max="16384" width="8.875" style="15"/>
  </cols>
  <sheetData>
    <row r="1" spans="1:9" ht="18.2" customHeight="1" x14ac:dyDescent="0.2">
      <c r="A1" s="69" t="s">
        <v>51</v>
      </c>
      <c r="B1" s="72" t="s">
        <v>52</v>
      </c>
      <c r="C1" s="69" t="s">
        <v>56</v>
      </c>
      <c r="D1" s="69"/>
    </row>
    <row r="2" spans="1:9" x14ac:dyDescent="0.2">
      <c r="A2" s="69"/>
      <c r="B2" s="72"/>
      <c r="C2" s="15" t="s">
        <v>57</v>
      </c>
      <c r="D2" s="15" t="s">
        <v>58</v>
      </c>
    </row>
    <row r="3" spans="1:9" x14ac:dyDescent="0.2">
      <c r="A3" s="15">
        <v>1</v>
      </c>
      <c r="B3" s="16">
        <v>0</v>
      </c>
      <c r="C3" s="15" t="s">
        <v>55</v>
      </c>
      <c r="D3" s="15">
        <v>0</v>
      </c>
    </row>
    <row r="4" spans="1:9" ht="18.2" customHeight="1" x14ac:dyDescent="0.2">
      <c r="A4" s="15">
        <v>2</v>
      </c>
      <c r="B4" s="16">
        <v>0</v>
      </c>
      <c r="C4" s="15" t="s">
        <v>55</v>
      </c>
      <c r="D4" s="15">
        <v>0</v>
      </c>
    </row>
    <row r="5" spans="1:9" x14ac:dyDescent="0.2">
      <c r="A5" s="15">
        <v>3</v>
      </c>
      <c r="B5" s="10">
        <v>5.4646444053929301E-2</v>
      </c>
      <c r="C5" s="15" t="s">
        <v>55</v>
      </c>
      <c r="D5" s="15">
        <v>0</v>
      </c>
    </row>
    <row r="6" spans="1:9" x14ac:dyDescent="0.2">
      <c r="A6" s="15">
        <v>4</v>
      </c>
      <c r="B6" s="10">
        <v>6.2362883516365701E-2</v>
      </c>
      <c r="C6" s="15" t="s">
        <v>55</v>
      </c>
      <c r="D6" s="15">
        <v>0</v>
      </c>
      <c r="H6" s="23" t="s">
        <v>147</v>
      </c>
      <c r="I6" s="23" t="s">
        <v>146</v>
      </c>
    </row>
    <row r="7" spans="1:9" x14ac:dyDescent="0.2">
      <c r="A7" s="15">
        <v>5</v>
      </c>
      <c r="B7" s="16">
        <v>0</v>
      </c>
      <c r="C7" s="15" t="s">
        <v>55</v>
      </c>
      <c r="D7" s="15">
        <v>0</v>
      </c>
      <c r="H7" s="15" t="s">
        <v>148</v>
      </c>
      <c r="I7" s="23" t="s">
        <v>155</v>
      </c>
    </row>
    <row r="8" spans="1:9" x14ac:dyDescent="0.2">
      <c r="A8" s="15">
        <v>6</v>
      </c>
      <c r="B8" s="16">
        <v>0</v>
      </c>
      <c r="C8" s="15" t="s">
        <v>55</v>
      </c>
      <c r="D8" s="15">
        <v>0</v>
      </c>
      <c r="H8" s="15" t="s">
        <v>149</v>
      </c>
      <c r="I8" s="23" t="s">
        <v>154</v>
      </c>
    </row>
    <row r="9" spans="1:9" x14ac:dyDescent="0.2">
      <c r="A9" s="15">
        <v>7</v>
      </c>
      <c r="B9" s="10">
        <v>4.5011918342850663E-2</v>
      </c>
      <c r="C9" s="15" t="s">
        <v>55</v>
      </c>
      <c r="D9" s="15">
        <v>0</v>
      </c>
      <c r="H9" s="15" t="s">
        <v>150</v>
      </c>
      <c r="I9" s="23" t="s">
        <v>153</v>
      </c>
    </row>
    <row r="10" spans="1:9" x14ac:dyDescent="0.2">
      <c r="A10" s="15">
        <v>8</v>
      </c>
      <c r="B10" s="10">
        <v>4.7978322048564871E-2</v>
      </c>
      <c r="C10" s="15" t="s">
        <v>55</v>
      </c>
      <c r="D10" s="15">
        <v>0</v>
      </c>
      <c r="H10" s="15" t="s">
        <v>151</v>
      </c>
      <c r="I10" s="23" t="s">
        <v>152</v>
      </c>
    </row>
    <row r="11" spans="1:9" x14ac:dyDescent="0.2">
      <c r="A11" s="15">
        <v>9</v>
      </c>
      <c r="B11" s="16">
        <v>0</v>
      </c>
      <c r="C11" s="15" t="s">
        <v>55</v>
      </c>
      <c r="D11" s="15">
        <v>0</v>
      </c>
    </row>
    <row r="12" spans="1:9" x14ac:dyDescent="0.2">
      <c r="A12" s="15">
        <v>10</v>
      </c>
      <c r="B12" s="16">
        <v>0</v>
      </c>
      <c r="C12" s="15" t="s">
        <v>55</v>
      </c>
      <c r="D12" s="15">
        <v>0</v>
      </c>
    </row>
    <row r="13" spans="1:9" x14ac:dyDescent="0.2">
      <c r="A13" s="15">
        <v>11</v>
      </c>
      <c r="B13" s="16">
        <v>0</v>
      </c>
      <c r="C13" s="15" t="s">
        <v>55</v>
      </c>
      <c r="D13" s="15">
        <v>0</v>
      </c>
    </row>
    <row r="14" spans="1:9" x14ac:dyDescent="0.2">
      <c r="A14" s="15">
        <v>12</v>
      </c>
      <c r="B14" s="16">
        <v>0</v>
      </c>
      <c r="C14" s="15" t="s">
        <v>55</v>
      </c>
      <c r="D14" s="15">
        <v>0</v>
      </c>
    </row>
    <row r="15" spans="1:9" x14ac:dyDescent="0.2">
      <c r="A15" s="15">
        <v>13</v>
      </c>
      <c r="B15" s="10">
        <v>4.7090477527793967E-2</v>
      </c>
      <c r="C15" s="15" t="s">
        <v>55</v>
      </c>
      <c r="D15" s="15">
        <v>0</v>
      </c>
    </row>
    <row r="16" spans="1:9" x14ac:dyDescent="0.2">
      <c r="A16" s="15">
        <v>14</v>
      </c>
      <c r="B16" s="16">
        <v>0</v>
      </c>
      <c r="C16" s="15" t="s">
        <v>143</v>
      </c>
      <c r="D16" s="15">
        <v>1</v>
      </c>
    </row>
    <row r="17" spans="1:4" x14ac:dyDescent="0.2">
      <c r="A17" s="15">
        <v>15</v>
      </c>
      <c r="B17" s="10">
        <v>4.0913314104477905E-2</v>
      </c>
      <c r="C17" s="15" t="s">
        <v>55</v>
      </c>
      <c r="D17" s="15">
        <v>0</v>
      </c>
    </row>
    <row r="18" spans="1:4" x14ac:dyDescent="0.2">
      <c r="A18" s="15">
        <v>16</v>
      </c>
      <c r="B18" s="10">
        <v>4.1940255762856787E-2</v>
      </c>
      <c r="C18" s="15" t="s">
        <v>55</v>
      </c>
      <c r="D18" s="15">
        <v>0</v>
      </c>
    </row>
    <row r="19" spans="1:4" x14ac:dyDescent="0.2">
      <c r="A19" s="15">
        <v>17</v>
      </c>
      <c r="B19" s="16">
        <v>0</v>
      </c>
      <c r="C19" s="15" t="s">
        <v>55</v>
      </c>
      <c r="D19" s="15">
        <v>0</v>
      </c>
    </row>
    <row r="20" spans="1:4" x14ac:dyDescent="0.2">
      <c r="A20" s="15">
        <v>18</v>
      </c>
      <c r="B20" s="10">
        <v>5.152832725436602E-2</v>
      </c>
      <c r="C20" s="15" t="s">
        <v>55</v>
      </c>
      <c r="D20" s="15">
        <v>0</v>
      </c>
    </row>
    <row r="21" spans="1:4" x14ac:dyDescent="0.2">
      <c r="A21" s="15">
        <v>19</v>
      </c>
      <c r="B21" s="16">
        <v>0</v>
      </c>
      <c r="C21" s="15" t="s">
        <v>55</v>
      </c>
      <c r="D21" s="15">
        <v>0</v>
      </c>
    </row>
    <row r="22" spans="1:4" x14ac:dyDescent="0.2">
      <c r="A22" s="15">
        <v>20</v>
      </c>
      <c r="B22" s="10">
        <v>5.7481818964257303E-2</v>
      </c>
      <c r="C22" s="15" t="s">
        <v>55</v>
      </c>
      <c r="D22" s="15">
        <v>0</v>
      </c>
    </row>
    <row r="23" spans="1:4" x14ac:dyDescent="0.2">
      <c r="A23" s="15">
        <v>21</v>
      </c>
      <c r="B23" s="10">
        <v>5.2093865697816044E-2</v>
      </c>
      <c r="C23" s="15" t="s">
        <v>55</v>
      </c>
      <c r="D23" s="15">
        <v>0</v>
      </c>
    </row>
    <row r="24" spans="1:4" x14ac:dyDescent="0.2">
      <c r="A24" s="15">
        <v>22</v>
      </c>
      <c r="B24" s="16">
        <v>0</v>
      </c>
      <c r="C24" s="15" t="s">
        <v>55</v>
      </c>
      <c r="D24" s="15">
        <v>0</v>
      </c>
    </row>
    <row r="25" spans="1:4" x14ac:dyDescent="0.2">
      <c r="A25" s="15">
        <v>23</v>
      </c>
      <c r="B25" s="10">
        <v>4.1971660589920121E-2</v>
      </c>
      <c r="C25" s="15" t="s">
        <v>55</v>
      </c>
      <c r="D25" s="15">
        <v>0</v>
      </c>
    </row>
    <row r="26" spans="1:4" x14ac:dyDescent="0.2">
      <c r="A26" s="15">
        <v>24</v>
      </c>
      <c r="B26" s="10">
        <v>6.6731355746326299E-2</v>
      </c>
      <c r="C26" s="15" t="s">
        <v>143</v>
      </c>
      <c r="D26" s="15">
        <v>2</v>
      </c>
    </row>
    <row r="27" spans="1:4" x14ac:dyDescent="0.2">
      <c r="A27" s="15">
        <v>25</v>
      </c>
      <c r="B27" s="10">
        <v>5.3876792941525496E-2</v>
      </c>
      <c r="C27" s="15" t="s">
        <v>55</v>
      </c>
      <c r="D27" s="15">
        <v>0</v>
      </c>
    </row>
    <row r="28" spans="1:4" x14ac:dyDescent="0.2">
      <c r="A28" s="15">
        <v>26</v>
      </c>
      <c r="B28" s="10">
        <v>4.72999050913228E-2</v>
      </c>
      <c r="C28" s="15" t="s">
        <v>55</v>
      </c>
      <c r="D28" s="15">
        <v>0</v>
      </c>
    </row>
    <row r="29" spans="1:4" x14ac:dyDescent="0.2">
      <c r="A29" s="15">
        <v>27</v>
      </c>
      <c r="B29" s="10">
        <v>6.2297658725563101E-2</v>
      </c>
      <c r="C29" s="15" t="s">
        <v>55</v>
      </c>
      <c r="D29" s="15">
        <v>0</v>
      </c>
    </row>
    <row r="30" spans="1:4" x14ac:dyDescent="0.2">
      <c r="A30" s="15">
        <v>28</v>
      </c>
      <c r="B30" s="10">
        <v>5.8816094509869438E-2</v>
      </c>
      <c r="C30" s="15" t="s">
        <v>185</v>
      </c>
      <c r="D30" s="15">
        <v>0</v>
      </c>
    </row>
    <row r="31" spans="1:4" x14ac:dyDescent="0.2">
      <c r="A31" s="15">
        <v>29</v>
      </c>
      <c r="B31" s="10">
        <v>5.9682134893344084E-2</v>
      </c>
      <c r="C31" s="15" t="s">
        <v>55</v>
      </c>
      <c r="D31" s="15">
        <v>0</v>
      </c>
    </row>
    <row r="32" spans="1:4" x14ac:dyDescent="0.2">
      <c r="A32" s="15">
        <v>30</v>
      </c>
      <c r="B32" s="16">
        <v>0</v>
      </c>
      <c r="C32" s="15" t="s">
        <v>53</v>
      </c>
      <c r="D32" s="14">
        <v>1</v>
      </c>
    </row>
    <row r="33" spans="1:4" x14ac:dyDescent="0.2">
      <c r="A33" s="15">
        <v>31</v>
      </c>
      <c r="B33" s="10">
        <v>5.1313037141323084E-2</v>
      </c>
      <c r="C33" s="15" t="s">
        <v>53</v>
      </c>
      <c r="D33" s="14">
        <v>6</v>
      </c>
    </row>
    <row r="34" spans="1:4" x14ac:dyDescent="0.2">
      <c r="A34" s="15">
        <v>32</v>
      </c>
      <c r="B34" s="16">
        <v>0</v>
      </c>
      <c r="C34" s="15" t="s">
        <v>54</v>
      </c>
      <c r="D34" s="14">
        <v>1</v>
      </c>
    </row>
    <row r="35" spans="1:4" x14ac:dyDescent="0.2">
      <c r="A35" s="15">
        <v>33</v>
      </c>
      <c r="B35" s="16">
        <v>0</v>
      </c>
      <c r="C35" s="15" t="s">
        <v>53</v>
      </c>
      <c r="D35" s="14">
        <v>7</v>
      </c>
    </row>
    <row r="36" spans="1:4" x14ac:dyDescent="0.2">
      <c r="A36" s="15">
        <v>34</v>
      </c>
      <c r="B36" s="16">
        <v>0</v>
      </c>
      <c r="C36" s="15" t="s">
        <v>53</v>
      </c>
      <c r="D36" s="14">
        <v>8</v>
      </c>
    </row>
    <row r="37" spans="1:4" x14ac:dyDescent="0.2">
      <c r="A37" s="15">
        <v>35</v>
      </c>
      <c r="B37" s="16">
        <v>0</v>
      </c>
      <c r="C37" s="15" t="s">
        <v>54</v>
      </c>
      <c r="D37" s="14">
        <v>2</v>
      </c>
    </row>
    <row r="38" spans="1:4" x14ac:dyDescent="0.2">
      <c r="A38" s="15">
        <v>36</v>
      </c>
      <c r="B38" s="16">
        <v>0</v>
      </c>
      <c r="C38" s="15" t="s">
        <v>53</v>
      </c>
      <c r="D38" s="14">
        <v>5</v>
      </c>
    </row>
    <row r="39" spans="1:4" x14ac:dyDescent="0.2">
      <c r="A39" s="15">
        <v>37</v>
      </c>
      <c r="B39" s="16">
        <v>0</v>
      </c>
      <c r="C39" s="15" t="s">
        <v>53</v>
      </c>
      <c r="D39" s="14">
        <v>2</v>
      </c>
    </row>
    <row r="40" spans="1:4" x14ac:dyDescent="0.2">
      <c r="A40" s="15">
        <v>38</v>
      </c>
      <c r="B40" s="16">
        <v>0</v>
      </c>
      <c r="C40" s="15" t="s">
        <v>53</v>
      </c>
      <c r="D40" s="14">
        <v>4</v>
      </c>
    </row>
    <row r="41" spans="1:4" x14ac:dyDescent="0.2">
      <c r="A41" s="15">
        <v>39</v>
      </c>
      <c r="B41" s="10">
        <v>5.6963733087527217E-2</v>
      </c>
      <c r="C41" s="15" t="s">
        <v>53</v>
      </c>
      <c r="D41" s="14">
        <v>3</v>
      </c>
    </row>
  </sheetData>
  <mergeCells count="3">
    <mergeCell ref="A1:A2"/>
    <mergeCell ref="B1:B2"/>
    <mergeCell ref="C1:D1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1367-8579-4D25-83F9-B766BC8F4AA4}">
  <dimension ref="A1:C20"/>
  <sheetViews>
    <sheetView workbookViewId="0">
      <selection activeCell="E19" sqref="E19"/>
    </sheetView>
  </sheetViews>
  <sheetFormatPr defaultColWidth="8.875" defaultRowHeight="15.75" x14ac:dyDescent="0.2"/>
  <cols>
    <col min="1" max="1" width="26.875" style="56" bestFit="1" customWidth="1"/>
    <col min="2" max="16384" width="8.875" style="56"/>
  </cols>
  <sheetData>
    <row r="1" spans="1:3" x14ac:dyDescent="0.2">
      <c r="A1" s="56" t="s">
        <v>30</v>
      </c>
      <c r="B1" s="56" t="s">
        <v>19</v>
      </c>
      <c r="C1" s="56" t="s">
        <v>216</v>
      </c>
    </row>
    <row r="2" spans="1:3" x14ac:dyDescent="0.2">
      <c r="A2" s="56" t="s">
        <v>31</v>
      </c>
      <c r="B2" s="56">
        <v>60</v>
      </c>
    </row>
    <row r="3" spans="1:3" x14ac:dyDescent="0.2">
      <c r="A3" s="56" t="s">
        <v>32</v>
      </c>
      <c r="B3" s="56">
        <f>24*60/B2</f>
        <v>24</v>
      </c>
    </row>
    <row r="4" spans="1:3" x14ac:dyDescent="0.2">
      <c r="A4" s="56" t="s">
        <v>217</v>
      </c>
      <c r="B4" s="56">
        <v>6130</v>
      </c>
      <c r="C4" s="12" t="s">
        <v>218</v>
      </c>
    </row>
    <row r="5" spans="1:3" x14ac:dyDescent="0.2">
      <c r="A5" s="56" t="s">
        <v>219</v>
      </c>
      <c r="B5" s="56">
        <v>1</v>
      </c>
    </row>
    <row r="6" spans="1:3" x14ac:dyDescent="0.2">
      <c r="A6" s="56" t="s">
        <v>220</v>
      </c>
      <c r="B6" s="56">
        <v>50</v>
      </c>
    </row>
    <row r="7" spans="1:3" x14ac:dyDescent="0.2">
      <c r="A7" s="56" t="s">
        <v>36</v>
      </c>
      <c r="B7" s="56">
        <f>0.3/50</f>
        <v>6.0000000000000001E-3</v>
      </c>
      <c r="C7" s="56" t="s">
        <v>157</v>
      </c>
    </row>
    <row r="8" spans="1:3" x14ac:dyDescent="0.2">
      <c r="A8" s="56" t="s">
        <v>115</v>
      </c>
      <c r="B8" s="56">
        <f>0.2/50</f>
        <v>4.0000000000000001E-3</v>
      </c>
      <c r="C8" s="56" t="s">
        <v>156</v>
      </c>
    </row>
    <row r="9" spans="1:3" x14ac:dyDescent="0.2">
      <c r="A9" s="56" t="s">
        <v>37</v>
      </c>
      <c r="B9" s="56">
        <f>0.3/50</f>
        <v>6.0000000000000001E-3</v>
      </c>
      <c r="C9" s="56" t="s">
        <v>160</v>
      </c>
    </row>
    <row r="10" spans="1:3" x14ac:dyDescent="0.2">
      <c r="A10" s="56" t="s">
        <v>221</v>
      </c>
      <c r="B10" s="56">
        <v>100</v>
      </c>
      <c r="C10" s="12" t="s">
        <v>222</v>
      </c>
    </row>
    <row r="11" spans="1:3" x14ac:dyDescent="0.2">
      <c r="A11" s="56" t="s">
        <v>33</v>
      </c>
      <c r="B11" s="56">
        <v>1E-3</v>
      </c>
    </row>
    <row r="12" spans="1:3" x14ac:dyDescent="0.2">
      <c r="A12" s="56" t="s">
        <v>34</v>
      </c>
      <c r="B12" s="56">
        <v>60</v>
      </c>
    </row>
    <row r="13" spans="1:3" x14ac:dyDescent="0.2">
      <c r="A13" s="56" t="s">
        <v>35</v>
      </c>
      <c r="B13" s="56">
        <f>B12/B11+1</f>
        <v>60001</v>
      </c>
    </row>
    <row r="14" spans="1:3" x14ac:dyDescent="0.2">
      <c r="A14" s="56" t="s">
        <v>223</v>
      </c>
      <c r="B14" s="56">
        <v>600</v>
      </c>
      <c r="C14" s="12" t="s">
        <v>227</v>
      </c>
    </row>
    <row r="15" spans="1:3" x14ac:dyDescent="0.2">
      <c r="A15" s="56" t="s">
        <v>224</v>
      </c>
      <c r="B15" s="56">
        <v>220</v>
      </c>
    </row>
    <row r="16" spans="1:3" x14ac:dyDescent="0.2">
      <c r="A16" s="56" t="s">
        <v>231</v>
      </c>
      <c r="B16" s="56">
        <v>3000</v>
      </c>
    </row>
    <row r="17" spans="1:2" x14ac:dyDescent="0.2">
      <c r="A17" s="56" t="s">
        <v>230</v>
      </c>
      <c r="B17" s="56">
        <v>0.97</v>
      </c>
    </row>
    <row r="18" spans="1:2" x14ac:dyDescent="0.2">
      <c r="A18" s="56" t="s">
        <v>228</v>
      </c>
      <c r="B18" s="56">
        <v>0.08</v>
      </c>
    </row>
    <row r="19" spans="1:2" x14ac:dyDescent="0.2">
      <c r="A19" s="56" t="s">
        <v>229</v>
      </c>
      <c r="B19" s="56">
        <v>0.02</v>
      </c>
    </row>
    <row r="20" spans="1:2" x14ac:dyDescent="0.2">
      <c r="A20" s="57" t="s">
        <v>232</v>
      </c>
      <c r="B20" s="56">
        <v>0.02</v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B8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3CC7-702F-4178-9674-F55C809E673C}">
  <dimension ref="A1:S22"/>
  <sheetViews>
    <sheetView workbookViewId="0"/>
  </sheetViews>
  <sheetFormatPr defaultColWidth="8.875" defaultRowHeight="15" x14ac:dyDescent="0.2"/>
  <cols>
    <col min="1" max="1" width="16.125" style="24" customWidth="1"/>
    <col min="2" max="19" width="8.75" style="24" customWidth="1"/>
    <col min="20" max="16384" width="8.875" style="24"/>
  </cols>
  <sheetData>
    <row r="1" spans="1:19" x14ac:dyDescent="0.2">
      <c r="A1" s="55" t="s">
        <v>225</v>
      </c>
      <c r="B1" s="73" t="s">
        <v>162</v>
      </c>
      <c r="C1" s="74"/>
      <c r="D1" s="74"/>
      <c r="E1" s="74"/>
      <c r="F1" s="75"/>
      <c r="G1" s="74" t="s">
        <v>163</v>
      </c>
      <c r="H1" s="74"/>
      <c r="I1" s="74"/>
      <c r="J1" s="74"/>
      <c r="K1" s="74"/>
      <c r="L1" s="73" t="s">
        <v>164</v>
      </c>
      <c r="M1" s="74"/>
      <c r="N1" s="74"/>
      <c r="O1" s="75"/>
      <c r="P1" s="74" t="s">
        <v>165</v>
      </c>
      <c r="Q1" s="74"/>
      <c r="R1" s="74"/>
      <c r="S1" s="75"/>
    </row>
    <row r="2" spans="1:19" x14ac:dyDescent="0.2">
      <c r="A2" s="25" t="s">
        <v>159</v>
      </c>
      <c r="B2" s="25">
        <v>0.3</v>
      </c>
      <c r="C2" s="54">
        <v>0.34149999999999997</v>
      </c>
      <c r="D2" s="54">
        <v>0.5</v>
      </c>
      <c r="E2" s="54">
        <v>0.8</v>
      </c>
      <c r="F2" s="27">
        <v>1</v>
      </c>
      <c r="G2" s="54">
        <v>0</v>
      </c>
      <c r="H2" s="54">
        <v>5.9459594717278099</v>
      </c>
      <c r="I2" s="54">
        <v>6.8838645608379396</v>
      </c>
      <c r="J2" s="54">
        <v>10.730914696162094</v>
      </c>
      <c r="K2" s="54">
        <v>11.399684669703936</v>
      </c>
      <c r="L2" s="25">
        <f>(H2-G2)/(C2-B2)</f>
        <v>143.27613184886295</v>
      </c>
      <c r="M2" s="54">
        <f>(I2-H2)/(D2-C2)</f>
        <v>5.9173822656790502</v>
      </c>
      <c r="N2" s="54">
        <f>(J2-I2)/(E2-D2)</f>
        <v>12.823500451080511</v>
      </c>
      <c r="O2" s="27">
        <f>(K2-J2)/(F2-E2)</f>
        <v>3.3438498677092108</v>
      </c>
      <c r="P2" s="54">
        <f>G2-L2*B2</f>
        <v>-42.982839554658881</v>
      </c>
      <c r="Q2" s="54">
        <f>H2-M2*C2</f>
        <v>3.9251734279984145</v>
      </c>
      <c r="R2" s="54">
        <f>I2-N2*D2</f>
        <v>0.47211433529768421</v>
      </c>
      <c r="S2" s="27">
        <f>J2-O2*E2</f>
        <v>8.0558348019947239</v>
      </c>
    </row>
    <row r="3" spans="1:19" x14ac:dyDescent="0.2">
      <c r="A3" s="25" t="s">
        <v>3</v>
      </c>
      <c r="B3" s="25">
        <v>0.3</v>
      </c>
      <c r="C3" s="54">
        <v>0.33699999999999997</v>
      </c>
      <c r="D3" s="54">
        <v>0.5</v>
      </c>
      <c r="E3" s="54">
        <v>0.8</v>
      </c>
      <c r="F3" s="27">
        <v>1</v>
      </c>
      <c r="G3" s="54">
        <v>0</v>
      </c>
      <c r="H3" s="54">
        <v>4.4422079097477809</v>
      </c>
      <c r="I3" s="54">
        <v>5.1697922948503985</v>
      </c>
      <c r="J3" s="54">
        <v>8.1877973696536319</v>
      </c>
      <c r="K3" s="54">
        <v>8.7758675278287495</v>
      </c>
      <c r="L3" s="25">
        <f t="shared" ref="L3:L8" si="0">(H3-G3)/(C3-B3)</f>
        <v>120.05967323642659</v>
      </c>
      <c r="M3" s="54">
        <f t="shared" ref="M3:M9" si="1">(I3-H3)/(D3-C3)</f>
        <v>4.4637078840651379</v>
      </c>
      <c r="N3" s="54">
        <f t="shared" ref="N3:N9" si="2">(J3-I3)/(E3-D3)</f>
        <v>10.060016916010776</v>
      </c>
      <c r="O3" s="27">
        <f t="shared" ref="O3:O9" si="3">(K3-J3)/(F3-E3)</f>
        <v>2.9403507908755881</v>
      </c>
      <c r="P3" s="54">
        <f t="shared" ref="P3:P9" si="4">G3-L3*B3</f>
        <v>-36.017901970927973</v>
      </c>
      <c r="Q3" s="54">
        <f t="shared" ref="Q3:Q9" si="5">H3-M3*C3</f>
        <v>2.9379383528178296</v>
      </c>
      <c r="R3" s="54">
        <f t="shared" ref="R3:R9" si="6">I3-N3*D3</f>
        <v>0.13978383684501061</v>
      </c>
      <c r="S3" s="27">
        <f t="shared" ref="S3:S8" si="7">J3-O3*E3</f>
        <v>5.8355167369531618</v>
      </c>
    </row>
    <row r="4" spans="1:19" x14ac:dyDescent="0.2">
      <c r="A4" s="25" t="s">
        <v>4</v>
      </c>
      <c r="B4" s="25">
        <v>0.3</v>
      </c>
      <c r="C4" s="54">
        <v>0.34049999999999997</v>
      </c>
      <c r="D4" s="54">
        <v>0.5</v>
      </c>
      <c r="E4" s="54">
        <v>0.8</v>
      </c>
      <c r="F4" s="27">
        <v>1</v>
      </c>
      <c r="G4" s="54">
        <v>0</v>
      </c>
      <c r="H4" s="54">
        <v>5.8159956267943267</v>
      </c>
      <c r="I4" s="54">
        <v>6.6644950961639147</v>
      </c>
      <c r="J4" s="54">
        <v>10.373640152708939</v>
      </c>
      <c r="K4" s="54">
        <v>10.942144830010845</v>
      </c>
      <c r="L4" s="25">
        <f t="shared" si="0"/>
        <v>143.60483029121801</v>
      </c>
      <c r="M4" s="54">
        <f t="shared" si="1"/>
        <v>5.3197458894645004</v>
      </c>
      <c r="N4" s="54">
        <f t="shared" si="2"/>
        <v>12.363816855150079</v>
      </c>
      <c r="O4" s="27">
        <f t="shared" si="3"/>
        <v>2.8425233865095305</v>
      </c>
      <c r="P4" s="54">
        <f t="shared" si="4"/>
        <v>-43.081449087365399</v>
      </c>
      <c r="Q4" s="54">
        <f t="shared" si="5"/>
        <v>4.0046221514316649</v>
      </c>
      <c r="R4" s="54">
        <f t="shared" si="6"/>
        <v>0.48258666858887533</v>
      </c>
      <c r="S4" s="27">
        <f t="shared" si="7"/>
        <v>8.0996214435013147</v>
      </c>
    </row>
    <row r="5" spans="1:19" x14ac:dyDescent="0.2">
      <c r="A5" s="25" t="s">
        <v>5</v>
      </c>
      <c r="B5" s="25">
        <v>0.3</v>
      </c>
      <c r="C5" s="54">
        <v>0.33799999999999997</v>
      </c>
      <c r="D5" s="54">
        <v>0.5</v>
      </c>
      <c r="E5" s="54">
        <v>0.8</v>
      </c>
      <c r="F5" s="27">
        <v>1</v>
      </c>
      <c r="G5" s="54">
        <v>0</v>
      </c>
      <c r="H5" s="54">
        <v>5.0139488654810531</v>
      </c>
      <c r="I5" s="54">
        <v>5.7728658755753015</v>
      </c>
      <c r="J5" s="54">
        <v>9.1075728532738207</v>
      </c>
      <c r="K5" s="54">
        <v>9.6949111124684375</v>
      </c>
      <c r="L5" s="25">
        <f t="shared" si="0"/>
        <v>131.94602277581726</v>
      </c>
      <c r="M5" s="54">
        <f t="shared" si="1"/>
        <v>4.6846729018163469</v>
      </c>
      <c r="N5" s="54">
        <f t="shared" si="2"/>
        <v>11.115689925661728</v>
      </c>
      <c r="O5" s="27">
        <f t="shared" si="3"/>
        <v>2.9366912959730844</v>
      </c>
      <c r="P5" s="54">
        <f t="shared" si="4"/>
        <v>-39.583806832745175</v>
      </c>
      <c r="Q5" s="54">
        <f t="shared" si="5"/>
        <v>3.4305294246671281</v>
      </c>
      <c r="R5" s="54">
        <f t="shared" si="6"/>
        <v>0.21502091274443735</v>
      </c>
      <c r="S5" s="27">
        <f t="shared" si="7"/>
        <v>6.7582198164953535</v>
      </c>
    </row>
    <row r="6" spans="1:19" x14ac:dyDescent="0.2">
      <c r="A6" s="25" t="s">
        <v>6</v>
      </c>
      <c r="B6" s="25">
        <v>0.3</v>
      </c>
      <c r="C6" s="54">
        <v>0.33549999999999996</v>
      </c>
      <c r="D6" s="54">
        <v>0.4</v>
      </c>
      <c r="E6" s="54">
        <v>0.7</v>
      </c>
      <c r="F6" s="27">
        <v>1</v>
      </c>
      <c r="G6" s="54">
        <v>0</v>
      </c>
      <c r="H6" s="54">
        <v>6.965365059230832</v>
      </c>
      <c r="I6" s="54">
        <v>7.5416663509214148</v>
      </c>
      <c r="J6" s="54">
        <v>12.869623427468644</v>
      </c>
      <c r="K6" s="54">
        <v>14.437692154252304</v>
      </c>
      <c r="L6" s="25">
        <f t="shared" si="0"/>
        <v>196.20746645720666</v>
      </c>
      <c r="M6" s="54">
        <f t="shared" si="1"/>
        <v>8.9349037471408099</v>
      </c>
      <c r="N6" s="54">
        <f t="shared" si="2"/>
        <v>17.759856921824102</v>
      </c>
      <c r="O6" s="27">
        <f t="shared" si="3"/>
        <v>5.22689575594553</v>
      </c>
      <c r="P6" s="54">
        <f t="shared" si="4"/>
        <v>-58.862239937161995</v>
      </c>
      <c r="Q6" s="54">
        <f t="shared" si="5"/>
        <v>3.9677048520650908</v>
      </c>
      <c r="R6" s="54">
        <f t="shared" si="6"/>
        <v>0.4377235821917731</v>
      </c>
      <c r="S6" s="27">
        <f t="shared" si="7"/>
        <v>9.2107963983067727</v>
      </c>
    </row>
    <row r="7" spans="1:19" x14ac:dyDescent="0.2">
      <c r="A7" s="25" t="s">
        <v>7</v>
      </c>
      <c r="B7" s="25">
        <v>0.3</v>
      </c>
      <c r="C7" s="54">
        <v>0.33649999999999997</v>
      </c>
      <c r="D7" s="54">
        <v>0.4</v>
      </c>
      <c r="E7" s="54">
        <v>0.7</v>
      </c>
      <c r="F7" s="27">
        <v>1</v>
      </c>
      <c r="G7" s="54">
        <v>0</v>
      </c>
      <c r="H7" s="54">
        <v>7.7649948220072798</v>
      </c>
      <c r="I7" s="54">
        <v>8.3821245670894005</v>
      </c>
      <c r="J7" s="54">
        <v>14.238212027500055</v>
      </c>
      <c r="K7" s="54">
        <v>15.812573550481757</v>
      </c>
      <c r="L7" s="25">
        <f t="shared" si="0"/>
        <v>212.73958416458314</v>
      </c>
      <c r="M7" s="54">
        <f t="shared" si="1"/>
        <v>9.7185786627105539</v>
      </c>
      <c r="N7" s="54">
        <f t="shared" si="2"/>
        <v>19.520291534702185</v>
      </c>
      <c r="O7" s="27">
        <f t="shared" si="3"/>
        <v>5.2478717432723396</v>
      </c>
      <c r="P7" s="54">
        <f t="shared" si="4"/>
        <v>-63.821875249374941</v>
      </c>
      <c r="Q7" s="54">
        <f t="shared" si="5"/>
        <v>4.4946931020051792</v>
      </c>
      <c r="R7" s="54">
        <f t="shared" si="6"/>
        <v>0.57400795320852627</v>
      </c>
      <c r="S7" s="27">
        <f t="shared" si="7"/>
        <v>10.564701807209417</v>
      </c>
    </row>
    <row r="8" spans="1:19" x14ac:dyDescent="0.2">
      <c r="A8" s="25" t="s">
        <v>8</v>
      </c>
      <c r="B8" s="25">
        <v>0.3</v>
      </c>
      <c r="C8" s="54">
        <v>0.33250000000000002</v>
      </c>
      <c r="D8" s="54">
        <v>0.4</v>
      </c>
      <c r="E8" s="54">
        <v>0.7</v>
      </c>
      <c r="F8" s="27">
        <v>1</v>
      </c>
      <c r="G8" s="54">
        <v>0</v>
      </c>
      <c r="H8" s="54">
        <v>5.8865627891413759</v>
      </c>
      <c r="I8" s="54">
        <v>6.3786140383749768</v>
      </c>
      <c r="J8" s="54">
        <v>10.941753325458681</v>
      </c>
      <c r="K8" s="54">
        <v>12.285376756140522</v>
      </c>
      <c r="L8" s="25">
        <f t="shared" si="0"/>
        <v>181.12500889665756</v>
      </c>
      <c r="M8" s="54">
        <f t="shared" si="1"/>
        <v>7.2896481367940869</v>
      </c>
      <c r="N8" s="54">
        <f t="shared" si="2"/>
        <v>15.210464290279017</v>
      </c>
      <c r="O8" s="27">
        <f t="shared" si="3"/>
        <v>4.4787447689394702</v>
      </c>
      <c r="P8" s="54">
        <f t="shared" si="4"/>
        <v>-54.337502668997267</v>
      </c>
      <c r="Q8" s="54">
        <f t="shared" si="5"/>
        <v>3.462754783657342</v>
      </c>
      <c r="R8" s="54">
        <f t="shared" si="6"/>
        <v>0.29442832226336968</v>
      </c>
      <c r="S8" s="27">
        <f t="shared" si="7"/>
        <v>7.8066319872010519</v>
      </c>
    </row>
    <row r="9" spans="1:19" x14ac:dyDescent="0.2">
      <c r="A9" s="28" t="s">
        <v>9</v>
      </c>
      <c r="B9" s="28">
        <v>0.3</v>
      </c>
      <c r="C9" s="29">
        <v>0.33499999999999996</v>
      </c>
      <c r="D9" s="29">
        <v>0.4</v>
      </c>
      <c r="E9" s="29">
        <v>0.7</v>
      </c>
      <c r="F9" s="30">
        <v>1</v>
      </c>
      <c r="G9" s="29">
        <v>0</v>
      </c>
      <c r="H9" s="29">
        <v>6.929868522554762</v>
      </c>
      <c r="I9" s="29">
        <v>7.4712569910100965</v>
      </c>
      <c r="J9" s="29">
        <v>12.74770947949415</v>
      </c>
      <c r="K9" s="29">
        <v>14.150876804629211</v>
      </c>
      <c r="L9" s="28">
        <f>(H9-G9)/(C9-B9)</f>
        <v>197.99624350156478</v>
      </c>
      <c r="M9" s="29">
        <f t="shared" si="1"/>
        <v>8.329053360851292</v>
      </c>
      <c r="N9" s="29">
        <f t="shared" si="2"/>
        <v>17.588174961613515</v>
      </c>
      <c r="O9" s="30">
        <f t="shared" si="3"/>
        <v>4.6772244171168724</v>
      </c>
      <c r="P9" s="29">
        <f t="shared" si="4"/>
        <v>-59.398873050469433</v>
      </c>
      <c r="Q9" s="29">
        <f t="shared" si="5"/>
        <v>4.1396356466695794</v>
      </c>
      <c r="R9" s="29">
        <f t="shared" si="6"/>
        <v>0.43598700636469001</v>
      </c>
      <c r="S9" s="30">
        <f>J9-O9*E9</f>
        <v>9.4736523875123382</v>
      </c>
    </row>
    <row r="10" spans="1:19" x14ac:dyDescent="0.2">
      <c r="A10" s="55" t="s">
        <v>226</v>
      </c>
      <c r="B10" s="73" t="s">
        <v>162</v>
      </c>
      <c r="C10" s="74"/>
      <c r="D10" s="74"/>
      <c r="E10" s="74"/>
      <c r="F10" s="75"/>
      <c r="G10" s="74" t="s">
        <v>163</v>
      </c>
      <c r="H10" s="74"/>
      <c r="I10" s="74"/>
      <c r="J10" s="74"/>
      <c r="K10" s="74"/>
      <c r="L10" s="73" t="s">
        <v>164</v>
      </c>
      <c r="M10" s="74"/>
      <c r="N10" s="74"/>
      <c r="O10" s="75"/>
      <c r="P10" s="74" t="s">
        <v>165</v>
      </c>
      <c r="Q10" s="74"/>
      <c r="R10" s="74"/>
      <c r="S10" s="75"/>
    </row>
    <row r="11" spans="1:19" x14ac:dyDescent="0.2">
      <c r="A11" s="25" t="s">
        <v>159</v>
      </c>
      <c r="B11" s="25">
        <v>0.3</v>
      </c>
      <c r="C11" s="54">
        <v>0.5</v>
      </c>
      <c r="D11" s="54">
        <v>0.8</v>
      </c>
      <c r="E11" s="54">
        <v>0.93049999999999999</v>
      </c>
      <c r="F11" s="27">
        <v>1</v>
      </c>
      <c r="G11" s="54">
        <v>5.592807792610059</v>
      </c>
      <c r="H11" s="54">
        <v>6.8750110251979093</v>
      </c>
      <c r="I11" s="54">
        <v>10.713110379697206</v>
      </c>
      <c r="J11" s="54">
        <v>11.146843705599327</v>
      </c>
      <c r="K11" s="54">
        <v>0</v>
      </c>
      <c r="L11" s="25">
        <f>(H11-G11)/(C11-B11)</f>
        <v>6.4110161629392515</v>
      </c>
      <c r="M11" s="54">
        <f>(I11-H11)/(D11-C11)</f>
        <v>12.793664514997653</v>
      </c>
      <c r="N11" s="54">
        <f>(J11-I11)/(E11-D11)</f>
        <v>3.3236270184070622</v>
      </c>
      <c r="O11" s="27">
        <f>(K11-J11)/(F11-E11)</f>
        <v>-160.38624036833562</v>
      </c>
      <c r="P11" s="54">
        <f>G11-L11*B11</f>
        <v>3.6695029437282836</v>
      </c>
      <c r="Q11" s="54">
        <f>H11-M11*C11</f>
        <v>0.47817876769908274</v>
      </c>
      <c r="R11" s="54">
        <f>I11-N11*D11</f>
        <v>8.0542087649715555</v>
      </c>
      <c r="S11" s="27">
        <f>J11-O11*E11</f>
        <v>160.38624036833562</v>
      </c>
    </row>
    <row r="12" spans="1:19" x14ac:dyDescent="0.2">
      <c r="A12" s="25" t="s">
        <v>3</v>
      </c>
      <c r="B12" s="25">
        <v>0.3</v>
      </c>
      <c r="C12" s="54">
        <v>0.5</v>
      </c>
      <c r="D12" s="54">
        <v>0.8</v>
      </c>
      <c r="E12" s="54">
        <v>0.93799999999999994</v>
      </c>
      <c r="F12" s="27">
        <v>1</v>
      </c>
      <c r="G12" s="54">
        <v>4.21661862048924</v>
      </c>
      <c r="H12" s="54">
        <v>5.1636914177476099</v>
      </c>
      <c r="I12" s="54">
        <v>8.1755377828175018</v>
      </c>
      <c r="J12" s="54">
        <v>8.5780732531356119</v>
      </c>
      <c r="K12" s="54">
        <v>0</v>
      </c>
      <c r="L12" s="25">
        <f t="shared" ref="L12:L17" si="8">(H12-G12)/(C12-B12)</f>
        <v>4.7353639862918495</v>
      </c>
      <c r="M12" s="54">
        <f t="shared" ref="M12:M18" si="9">(I12-H12)/(D12-C12)</f>
        <v>10.039487883566304</v>
      </c>
      <c r="N12" s="54">
        <f t="shared" ref="N12:N18" si="10">(J12-I12)/(E12-D12)</f>
        <v>2.9169236979573219</v>
      </c>
      <c r="O12" s="27">
        <f>(K12-J12)/(F12-E12)</f>
        <v>-138.35602021186457</v>
      </c>
      <c r="P12" s="54">
        <f t="shared" ref="P12:P18" si="11">G12-L12*B12</f>
        <v>2.7960094246016851</v>
      </c>
      <c r="Q12" s="54">
        <f t="shared" ref="Q12:Q18" si="12">H12-M12*C12</f>
        <v>0.14394747596445789</v>
      </c>
      <c r="R12" s="54">
        <f t="shared" ref="R12:R18" si="13">I12-N12*D12</f>
        <v>5.8419988244516441</v>
      </c>
      <c r="S12" s="27">
        <f t="shared" ref="S12:S18" si="14">J12-O12*E12</f>
        <v>138.35602021186457</v>
      </c>
    </row>
    <row r="13" spans="1:19" x14ac:dyDescent="0.2">
      <c r="A13" s="25" t="s">
        <v>4</v>
      </c>
      <c r="B13" s="25">
        <v>0.3</v>
      </c>
      <c r="C13" s="54">
        <v>0.5</v>
      </c>
      <c r="D13" s="54">
        <v>0.8</v>
      </c>
      <c r="E13" s="54">
        <v>0.93300000000000005</v>
      </c>
      <c r="F13" s="27">
        <v>1</v>
      </c>
      <c r="G13" s="54">
        <v>5.5008619171729602</v>
      </c>
      <c r="H13" s="54">
        <v>6.65675483998346</v>
      </c>
      <c r="I13" s="54">
        <v>10.358341006899526</v>
      </c>
      <c r="J13" s="54">
        <v>10.73213304431801</v>
      </c>
      <c r="K13" s="54">
        <v>0</v>
      </c>
      <c r="L13" s="25">
        <f t="shared" si="8"/>
        <v>5.7794646140524986</v>
      </c>
      <c r="M13" s="54">
        <f t="shared" si="9"/>
        <v>12.338620556386884</v>
      </c>
      <c r="N13" s="54">
        <f t="shared" si="10"/>
        <v>2.81046644675552</v>
      </c>
      <c r="O13" s="27">
        <f t="shared" ref="O13:O18" si="15">(K13-J13)/(F13-E13)</f>
        <v>-160.18109021370176</v>
      </c>
      <c r="P13" s="54">
        <f t="shared" si="11"/>
        <v>3.7670225329572107</v>
      </c>
      <c r="Q13" s="54">
        <f t="shared" si="12"/>
        <v>0.48744456179001805</v>
      </c>
      <c r="R13" s="54">
        <f t="shared" si="13"/>
        <v>8.10996784949511</v>
      </c>
      <c r="S13" s="27">
        <f t="shared" si="14"/>
        <v>160.18109021370176</v>
      </c>
    </row>
    <row r="14" spans="1:19" x14ac:dyDescent="0.2">
      <c r="A14" s="25" t="s">
        <v>5</v>
      </c>
      <c r="B14" s="25">
        <v>0.3</v>
      </c>
      <c r="C14" s="54">
        <v>0.5</v>
      </c>
      <c r="D14" s="54">
        <v>0.8</v>
      </c>
      <c r="E14" s="54">
        <v>0.93700000000000006</v>
      </c>
      <c r="F14" s="27">
        <v>1</v>
      </c>
      <c r="G14" s="54">
        <v>4.7609361642173091</v>
      </c>
      <c r="H14" s="54">
        <v>5.7664010141404569</v>
      </c>
      <c r="I14" s="54">
        <v>9.0945597093713637</v>
      </c>
      <c r="J14" s="54">
        <v>9.4929199091561127</v>
      </c>
      <c r="K14" s="54">
        <v>0</v>
      </c>
      <c r="L14" s="25">
        <f t="shared" si="8"/>
        <v>5.0273242496157389</v>
      </c>
      <c r="M14" s="54">
        <f t="shared" si="9"/>
        <v>11.093862317436354</v>
      </c>
      <c r="N14" s="54">
        <f t="shared" si="10"/>
        <v>2.9077386845602113</v>
      </c>
      <c r="O14" s="27">
        <f t="shared" si="15"/>
        <v>-150.68126839930352</v>
      </c>
      <c r="P14" s="54">
        <f t="shared" si="11"/>
        <v>3.2527388893325875</v>
      </c>
      <c r="Q14" s="54">
        <f t="shared" si="12"/>
        <v>0.21946985542227981</v>
      </c>
      <c r="R14" s="54">
        <f t="shared" si="13"/>
        <v>6.7683687617231945</v>
      </c>
      <c r="S14" s="27">
        <f t="shared" si="14"/>
        <v>150.68126839930352</v>
      </c>
    </row>
    <row r="15" spans="1:19" x14ac:dyDescent="0.2">
      <c r="A15" s="25" t="s">
        <v>6</v>
      </c>
      <c r="B15" s="25">
        <v>0.3</v>
      </c>
      <c r="C15" s="54">
        <v>0.4</v>
      </c>
      <c r="D15" s="54">
        <v>0.7</v>
      </c>
      <c r="E15" s="54">
        <v>0.9355</v>
      </c>
      <c r="F15" s="27">
        <v>1</v>
      </c>
      <c r="G15" s="54">
        <v>6.5880273439456269</v>
      </c>
      <c r="H15" s="54">
        <v>7.5353796001022628</v>
      </c>
      <c r="I15" s="54">
        <v>12.855282135550041</v>
      </c>
      <c r="J15" s="54">
        <v>14.103518202202709</v>
      </c>
      <c r="K15" s="54">
        <v>0</v>
      </c>
      <c r="L15" s="25">
        <f t="shared" si="8"/>
        <v>9.4735225615663552</v>
      </c>
      <c r="M15" s="54">
        <f t="shared" si="9"/>
        <v>17.733008451492598</v>
      </c>
      <c r="N15" s="54">
        <f t="shared" si="10"/>
        <v>5.3003654634932804</v>
      </c>
      <c r="O15" s="27">
        <f t="shared" si="15"/>
        <v>-218.65919693337534</v>
      </c>
      <c r="P15" s="54">
        <f t="shared" si="11"/>
        <v>3.7459705754757207</v>
      </c>
      <c r="Q15" s="54">
        <f t="shared" si="12"/>
        <v>0.44217621950522368</v>
      </c>
      <c r="R15" s="54">
        <f t="shared" si="13"/>
        <v>9.1450263111047452</v>
      </c>
      <c r="S15" s="27">
        <f t="shared" si="14"/>
        <v>218.65919693337534</v>
      </c>
    </row>
    <row r="16" spans="1:19" x14ac:dyDescent="0.2">
      <c r="A16" s="25" t="s">
        <v>7</v>
      </c>
      <c r="B16" s="25">
        <v>0.3</v>
      </c>
      <c r="C16" s="54">
        <v>0.4</v>
      </c>
      <c r="D16" s="54">
        <v>0.7</v>
      </c>
      <c r="E16" s="54">
        <v>0.9335</v>
      </c>
      <c r="F16" s="27">
        <v>1</v>
      </c>
      <c r="G16" s="54">
        <v>7.3370548299477871</v>
      </c>
      <c r="H16" s="54">
        <v>8.3752939566929445</v>
      </c>
      <c r="I16" s="54">
        <v>14.222465373302306</v>
      </c>
      <c r="J16" s="54">
        <v>15.470608876116996</v>
      </c>
      <c r="K16" s="54">
        <v>0</v>
      </c>
      <c r="L16" s="25">
        <f t="shared" si="8"/>
        <v>10.38239126745157</v>
      </c>
      <c r="M16" s="54">
        <f t="shared" si="9"/>
        <v>19.490571388697877</v>
      </c>
      <c r="N16" s="54">
        <f t="shared" si="10"/>
        <v>5.345368320405524</v>
      </c>
      <c r="O16" s="27">
        <f t="shared" si="15"/>
        <v>-232.64073497920293</v>
      </c>
      <c r="P16" s="54">
        <f t="shared" si="11"/>
        <v>4.2223374497123167</v>
      </c>
      <c r="Q16" s="54">
        <f t="shared" si="12"/>
        <v>0.57906540121379368</v>
      </c>
      <c r="R16" s="54">
        <f t="shared" si="13"/>
        <v>10.48070754901844</v>
      </c>
      <c r="S16" s="27">
        <f t="shared" si="14"/>
        <v>232.64073497920293</v>
      </c>
    </row>
    <row r="17" spans="1:19" x14ac:dyDescent="0.2">
      <c r="A17" s="25" t="s">
        <v>8</v>
      </c>
      <c r="B17" s="25">
        <v>0.3</v>
      </c>
      <c r="C17" s="54">
        <v>0.4</v>
      </c>
      <c r="D17" s="54">
        <v>0.7</v>
      </c>
      <c r="E17" s="54">
        <v>0.94</v>
      </c>
      <c r="F17" s="27">
        <v>1</v>
      </c>
      <c r="G17" s="54">
        <v>5.6071380091941094</v>
      </c>
      <c r="H17" s="54">
        <v>6.3734086126514793</v>
      </c>
      <c r="I17" s="54">
        <v>10.929443109719635</v>
      </c>
      <c r="J17" s="54">
        <v>12.015677978402906</v>
      </c>
      <c r="K17" s="54">
        <v>0</v>
      </c>
      <c r="L17" s="25">
        <f t="shared" si="8"/>
        <v>7.6627060345736959</v>
      </c>
      <c r="M17" s="54">
        <f t="shared" si="9"/>
        <v>15.186781656893857</v>
      </c>
      <c r="N17" s="54">
        <f t="shared" si="10"/>
        <v>4.5259786195136265</v>
      </c>
      <c r="O17" s="27">
        <f t="shared" si="15"/>
        <v>-200.26129964004824</v>
      </c>
      <c r="P17" s="54">
        <f t="shared" si="11"/>
        <v>3.3083261988220007</v>
      </c>
      <c r="Q17" s="54">
        <f t="shared" si="12"/>
        <v>0.29869594989393633</v>
      </c>
      <c r="R17" s="54">
        <f t="shared" si="13"/>
        <v>7.7612580760600967</v>
      </c>
      <c r="S17" s="27">
        <f t="shared" si="14"/>
        <v>200.26129964004826</v>
      </c>
    </row>
    <row r="18" spans="1:19" x14ac:dyDescent="0.2">
      <c r="A18" s="28" t="s">
        <v>9</v>
      </c>
      <c r="B18" s="28">
        <v>0.3</v>
      </c>
      <c r="C18" s="29">
        <v>0.4</v>
      </c>
      <c r="D18" s="29">
        <v>0.7</v>
      </c>
      <c r="E18" s="29">
        <v>0.9365</v>
      </c>
      <c r="F18" s="30">
        <v>1</v>
      </c>
      <c r="G18" s="29">
        <v>6.583533124473731</v>
      </c>
      <c r="H18" s="29">
        <v>7.4645543523847078</v>
      </c>
      <c r="I18" s="29">
        <v>12.731710535525089</v>
      </c>
      <c r="J18" s="29">
        <v>13.853751126300301</v>
      </c>
      <c r="K18" s="29">
        <v>0</v>
      </c>
      <c r="L18" s="28">
        <f>(H18-G18)/(C18-B18)</f>
        <v>8.8102122791097646</v>
      </c>
      <c r="M18" s="29">
        <f t="shared" si="9"/>
        <v>17.557187277134606</v>
      </c>
      <c r="N18" s="29">
        <f t="shared" si="10"/>
        <v>4.7443576776964562</v>
      </c>
      <c r="O18" s="30">
        <f t="shared" si="15"/>
        <v>-218.16930907559529</v>
      </c>
      <c r="P18" s="29">
        <f t="shared" si="11"/>
        <v>3.9404694407408019</v>
      </c>
      <c r="Q18" s="29">
        <f t="shared" si="12"/>
        <v>0.44167944153086491</v>
      </c>
      <c r="R18" s="29">
        <f t="shared" si="13"/>
        <v>9.4106601611375691</v>
      </c>
      <c r="S18" s="30">
        <f t="shared" si="14"/>
        <v>218.16930907559529</v>
      </c>
    </row>
    <row r="20" spans="1:19" x14ac:dyDescent="0.2">
      <c r="A20" s="31" t="s">
        <v>161</v>
      </c>
    </row>
    <row r="21" spans="1:19" x14ac:dyDescent="0.2">
      <c r="A21" s="31" t="s">
        <v>167</v>
      </c>
    </row>
    <row r="22" spans="1:19" x14ac:dyDescent="0.2">
      <c r="A22" s="31" t="s">
        <v>169</v>
      </c>
    </row>
  </sheetData>
  <mergeCells count="8">
    <mergeCell ref="B1:F1"/>
    <mergeCell ref="G1:K1"/>
    <mergeCell ref="L1:O1"/>
    <mergeCell ref="P1:S1"/>
    <mergeCell ref="B10:F10"/>
    <mergeCell ref="G10:K10"/>
    <mergeCell ref="L10:O10"/>
    <mergeCell ref="P10:S10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B3AD-9BAE-4A29-8830-624169B7ABFE}">
  <dimension ref="A1:S22"/>
  <sheetViews>
    <sheetView workbookViewId="0"/>
  </sheetViews>
  <sheetFormatPr defaultColWidth="8.875" defaultRowHeight="15" x14ac:dyDescent="0.2"/>
  <cols>
    <col min="1" max="1" width="16.125" style="24" bestFit="1" customWidth="1"/>
    <col min="2" max="19" width="8.75" style="24" customWidth="1"/>
    <col min="20" max="16384" width="8.875" style="24"/>
  </cols>
  <sheetData>
    <row r="1" spans="1:19" x14ac:dyDescent="0.2">
      <c r="A1" s="55" t="s">
        <v>225</v>
      </c>
      <c r="B1" s="73" t="s">
        <v>162</v>
      </c>
      <c r="C1" s="74"/>
      <c r="D1" s="74"/>
      <c r="E1" s="74"/>
      <c r="F1" s="75"/>
      <c r="G1" s="74" t="s">
        <v>163</v>
      </c>
      <c r="H1" s="74"/>
      <c r="I1" s="74"/>
      <c r="J1" s="74"/>
      <c r="K1" s="74"/>
      <c r="L1" s="73" t="s">
        <v>164</v>
      </c>
      <c r="M1" s="74"/>
      <c r="N1" s="74"/>
      <c r="O1" s="75"/>
      <c r="P1" s="74" t="s">
        <v>165</v>
      </c>
      <c r="Q1" s="74"/>
      <c r="R1" s="74"/>
      <c r="S1" s="75"/>
    </row>
    <row r="2" spans="1:19" x14ac:dyDescent="0.2">
      <c r="A2" s="25" t="s">
        <v>159</v>
      </c>
      <c r="B2" s="25">
        <v>0.3</v>
      </c>
      <c r="C2" s="26">
        <v>0.34149999999999997</v>
      </c>
      <c r="D2" s="26">
        <v>0.5</v>
      </c>
      <c r="E2" s="26">
        <v>0.8</v>
      </c>
      <c r="F2" s="27">
        <v>1</v>
      </c>
      <c r="G2" s="26">
        <v>0</v>
      </c>
      <c r="H2" s="26">
        <v>512.48281509357662</v>
      </c>
      <c r="I2" s="26">
        <v>500.14104321799516</v>
      </c>
      <c r="J2" s="26">
        <v>817.49876903242</v>
      </c>
      <c r="K2" s="26">
        <v>803.59414570402862</v>
      </c>
      <c r="L2" s="25">
        <f>(H2-G2)/(C2-B2)</f>
        <v>12348.983496230767</v>
      </c>
      <c r="M2" s="54">
        <f>(I2-H2)/(D2-C2)</f>
        <v>-77.866068615655863</v>
      </c>
      <c r="N2" s="54">
        <f>(J2-I2)/(E2-D2)</f>
        <v>1057.8590860480826</v>
      </c>
      <c r="O2" s="27">
        <f>(K2-J2)/(F2-E2)</f>
        <v>-69.523116641956918</v>
      </c>
      <c r="P2" s="54">
        <f>G2-L2*B2</f>
        <v>-3704.69504886923</v>
      </c>
      <c r="Q2" s="54">
        <f>H2-M2*C2</f>
        <v>539.0740775258231</v>
      </c>
      <c r="R2" s="54">
        <f>I2-N2*D2</f>
        <v>-28.788499806046161</v>
      </c>
      <c r="S2" s="27">
        <f>J2-O2*E2</f>
        <v>873.11726234598552</v>
      </c>
    </row>
    <row r="3" spans="1:19" x14ac:dyDescent="0.2">
      <c r="A3" s="25" t="s">
        <v>3</v>
      </c>
      <c r="B3" s="25">
        <v>0.3</v>
      </c>
      <c r="C3" s="26">
        <v>0.33699999999999997</v>
      </c>
      <c r="D3" s="26">
        <v>0.5</v>
      </c>
      <c r="E3" s="26">
        <v>0.8</v>
      </c>
      <c r="F3" s="27">
        <v>1</v>
      </c>
      <c r="G3" s="26">
        <v>0</v>
      </c>
      <c r="H3" s="26">
        <v>494.19882337135977</v>
      </c>
      <c r="I3" s="26">
        <v>479.06544562290401</v>
      </c>
      <c r="J3" s="26">
        <v>795.07700700227929</v>
      </c>
      <c r="K3" s="26">
        <v>784.28716899643257</v>
      </c>
      <c r="L3" s="25">
        <f t="shared" ref="L3:O9" si="0">(H3-G3)/(C3-B3)</f>
        <v>13356.724955982705</v>
      </c>
      <c r="M3" s="54">
        <f t="shared" si="0"/>
        <v>-92.842808272734686</v>
      </c>
      <c r="N3" s="54">
        <f t="shared" si="0"/>
        <v>1053.3718712645841</v>
      </c>
      <c r="O3" s="27">
        <f t="shared" si="0"/>
        <v>-53.949190029233606</v>
      </c>
      <c r="P3" s="54">
        <f t="shared" ref="P3:S9" si="1">G3-L3*B3</f>
        <v>-4007.0174867948112</v>
      </c>
      <c r="Q3" s="54">
        <f t="shared" si="1"/>
        <v>525.48684975927131</v>
      </c>
      <c r="R3" s="54">
        <f t="shared" si="1"/>
        <v>-47.62049000938805</v>
      </c>
      <c r="S3" s="27">
        <f t="shared" si="1"/>
        <v>838.23635902566616</v>
      </c>
    </row>
    <row r="4" spans="1:19" x14ac:dyDescent="0.2">
      <c r="A4" s="25" t="s">
        <v>4</v>
      </c>
      <c r="B4" s="25">
        <v>0.3</v>
      </c>
      <c r="C4" s="26">
        <v>0.34049999999999997</v>
      </c>
      <c r="D4" s="26">
        <v>0.5</v>
      </c>
      <c r="E4" s="26">
        <v>0.8</v>
      </c>
      <c r="F4" s="27">
        <v>1</v>
      </c>
      <c r="G4" s="26">
        <v>0</v>
      </c>
      <c r="H4" s="26">
        <v>497.78204189282633</v>
      </c>
      <c r="I4" s="26">
        <v>481.85467490810203</v>
      </c>
      <c r="J4" s="26">
        <v>788.61736719203122</v>
      </c>
      <c r="K4" s="26">
        <v>773.27917167274109</v>
      </c>
      <c r="L4" s="25">
        <f t="shared" si="0"/>
        <v>12290.914614637693</v>
      </c>
      <c r="M4" s="54">
        <f t="shared" si="0"/>
        <v>-99.858100217707204</v>
      </c>
      <c r="N4" s="54">
        <f t="shared" si="0"/>
        <v>1022.5423076130971</v>
      </c>
      <c r="O4" s="27">
        <f t="shared" si="0"/>
        <v>-76.690977596450708</v>
      </c>
      <c r="P4" s="54">
        <f t="shared" si="1"/>
        <v>-3687.2743843913076</v>
      </c>
      <c r="Q4" s="54">
        <f t="shared" si="1"/>
        <v>531.7837250169556</v>
      </c>
      <c r="R4" s="54">
        <f t="shared" si="1"/>
        <v>-29.416478898446542</v>
      </c>
      <c r="S4" s="27">
        <f t="shared" si="1"/>
        <v>849.97014926919178</v>
      </c>
    </row>
    <row r="5" spans="1:19" x14ac:dyDescent="0.2">
      <c r="A5" s="25" t="s">
        <v>5</v>
      </c>
      <c r="B5" s="25">
        <v>0.3</v>
      </c>
      <c r="C5" s="26">
        <v>0.33799999999999997</v>
      </c>
      <c r="D5" s="26">
        <v>0.5</v>
      </c>
      <c r="E5" s="26">
        <v>0.8</v>
      </c>
      <c r="F5" s="27">
        <v>1</v>
      </c>
      <c r="G5" s="26">
        <v>0</v>
      </c>
      <c r="H5" s="26">
        <v>489.49680361292627</v>
      </c>
      <c r="I5" s="26">
        <v>474.85482762501124</v>
      </c>
      <c r="J5" s="26">
        <v>784.0931415138183</v>
      </c>
      <c r="K5" s="26">
        <v>772.16689392508431</v>
      </c>
      <c r="L5" s="25">
        <f t="shared" si="0"/>
        <v>12881.494831919119</v>
      </c>
      <c r="M5" s="54">
        <f t="shared" si="0"/>
        <v>-90.382567826635977</v>
      </c>
      <c r="N5" s="54">
        <f t="shared" si="0"/>
        <v>1030.7943796293566</v>
      </c>
      <c r="O5" s="27">
        <f t="shared" si="0"/>
        <v>-59.631237943669944</v>
      </c>
      <c r="P5" s="54">
        <f t="shared" si="1"/>
        <v>-3864.4484495757356</v>
      </c>
      <c r="Q5" s="54">
        <f t="shared" si="1"/>
        <v>520.04611153832923</v>
      </c>
      <c r="R5" s="54">
        <f t="shared" si="1"/>
        <v>-40.542362189667074</v>
      </c>
      <c r="S5" s="27">
        <f t="shared" si="1"/>
        <v>831.79813186875424</v>
      </c>
    </row>
    <row r="6" spans="1:19" x14ac:dyDescent="0.2">
      <c r="A6" s="25" t="s">
        <v>6</v>
      </c>
      <c r="B6" s="25">
        <v>0.3</v>
      </c>
      <c r="C6" s="26">
        <v>0.33549999999999996</v>
      </c>
      <c r="D6" s="26">
        <v>0.4</v>
      </c>
      <c r="E6" s="26">
        <v>0.7</v>
      </c>
      <c r="F6" s="27">
        <v>1</v>
      </c>
      <c r="G6" s="26">
        <v>0</v>
      </c>
      <c r="H6" s="26">
        <v>675.2172004643071</v>
      </c>
      <c r="I6" s="26">
        <v>670.1421244968908</v>
      </c>
      <c r="J6" s="26">
        <v>1197.4519227894295</v>
      </c>
      <c r="K6" s="26">
        <v>1179.0161540182808</v>
      </c>
      <c r="L6" s="25">
        <f t="shared" si="0"/>
        <v>19020.202829980495</v>
      </c>
      <c r="M6" s="54">
        <f t="shared" si="0"/>
        <v>-78.683348332035536</v>
      </c>
      <c r="N6" s="54">
        <f t="shared" si="0"/>
        <v>1757.6993276417961</v>
      </c>
      <c r="O6" s="27">
        <f t="shared" si="0"/>
        <v>-61.45256257049595</v>
      </c>
      <c r="P6" s="54">
        <f t="shared" si="1"/>
        <v>-5706.0608489941487</v>
      </c>
      <c r="Q6" s="54">
        <f t="shared" si="1"/>
        <v>701.61546382970505</v>
      </c>
      <c r="R6" s="54">
        <f t="shared" si="1"/>
        <v>-32.937606559827714</v>
      </c>
      <c r="S6" s="27">
        <f t="shared" si="1"/>
        <v>1240.4687165887767</v>
      </c>
    </row>
    <row r="7" spans="1:19" x14ac:dyDescent="0.2">
      <c r="A7" s="25" t="s">
        <v>7</v>
      </c>
      <c r="B7" s="25">
        <v>0.3</v>
      </c>
      <c r="C7" s="26">
        <v>0.33649999999999997</v>
      </c>
      <c r="D7" s="26">
        <v>0.4</v>
      </c>
      <c r="E7" s="26">
        <v>0.7</v>
      </c>
      <c r="F7" s="27">
        <v>1</v>
      </c>
      <c r="G7" s="26">
        <v>0</v>
      </c>
      <c r="H7" s="26">
        <v>668.1488267522966</v>
      </c>
      <c r="I7" s="26">
        <v>667.70148849083159</v>
      </c>
      <c r="J7" s="26">
        <v>1188.1781900268536</v>
      </c>
      <c r="K7" s="26">
        <v>1170.7207019469281</v>
      </c>
      <c r="L7" s="25">
        <f t="shared" si="0"/>
        <v>18305.44730828211</v>
      </c>
      <c r="M7" s="54">
        <f t="shared" si="0"/>
        <v>-7.0446970309449757</v>
      </c>
      <c r="N7" s="54">
        <f t="shared" si="0"/>
        <v>1734.9223384534071</v>
      </c>
      <c r="O7" s="27">
        <f t="shared" si="0"/>
        <v>-58.191626933084983</v>
      </c>
      <c r="P7" s="54">
        <f t="shared" si="1"/>
        <v>-5491.6341924846329</v>
      </c>
      <c r="Q7" s="54">
        <f t="shared" si="1"/>
        <v>670.51936730320961</v>
      </c>
      <c r="R7" s="54">
        <f t="shared" si="1"/>
        <v>-26.267446890531232</v>
      </c>
      <c r="S7" s="27">
        <f t="shared" si="1"/>
        <v>1228.9123288800131</v>
      </c>
    </row>
    <row r="8" spans="1:19" x14ac:dyDescent="0.2">
      <c r="A8" s="25" t="s">
        <v>8</v>
      </c>
      <c r="B8" s="25">
        <v>0.3</v>
      </c>
      <c r="C8" s="26">
        <v>0.33250000000000002</v>
      </c>
      <c r="D8" s="26">
        <v>0.4</v>
      </c>
      <c r="E8" s="26">
        <v>0.7</v>
      </c>
      <c r="F8" s="27">
        <v>1</v>
      </c>
      <c r="G8" s="26">
        <v>0</v>
      </c>
      <c r="H8" s="26">
        <v>648.33047988604164</v>
      </c>
      <c r="I8" s="26">
        <v>649.83921866770959</v>
      </c>
      <c r="J8" s="26">
        <v>1169.0189245140234</v>
      </c>
      <c r="K8" s="26">
        <v>1164.1352213836062</v>
      </c>
      <c r="L8" s="25">
        <f t="shared" si="0"/>
        <v>19948.630150339726</v>
      </c>
      <c r="M8" s="54">
        <f t="shared" si="0"/>
        <v>22.351685654339907</v>
      </c>
      <c r="N8" s="54">
        <f t="shared" si="0"/>
        <v>1730.5990194877131</v>
      </c>
      <c r="O8" s="27">
        <f t="shared" si="0"/>
        <v>-16.279010434723961</v>
      </c>
      <c r="P8" s="54">
        <f t="shared" si="1"/>
        <v>-5984.5890451019177</v>
      </c>
      <c r="Q8" s="54">
        <f t="shared" si="1"/>
        <v>640.89854440597367</v>
      </c>
      <c r="R8" s="54">
        <f t="shared" si="1"/>
        <v>-42.400389127375661</v>
      </c>
      <c r="S8" s="27">
        <f t="shared" si="1"/>
        <v>1180.4142318183301</v>
      </c>
    </row>
    <row r="9" spans="1:19" x14ac:dyDescent="0.2">
      <c r="A9" s="28" t="s">
        <v>9</v>
      </c>
      <c r="B9" s="28">
        <v>0.3</v>
      </c>
      <c r="C9" s="29">
        <v>0.33499999999999996</v>
      </c>
      <c r="D9" s="29">
        <v>0.4</v>
      </c>
      <c r="E9" s="29">
        <v>0.7</v>
      </c>
      <c r="F9" s="30">
        <v>1</v>
      </c>
      <c r="G9" s="29">
        <v>0</v>
      </c>
      <c r="H9" s="29">
        <v>668.81001170060256</v>
      </c>
      <c r="I9" s="29">
        <v>663.58972115036443</v>
      </c>
      <c r="J9" s="29">
        <v>1186.242528233809</v>
      </c>
      <c r="K9" s="29">
        <v>1176.9660676813446</v>
      </c>
      <c r="L9" s="28">
        <f>(H9-G9)/(C9-B9)</f>
        <v>19108.857477160087</v>
      </c>
      <c r="M9" s="29">
        <f t="shared" si="0"/>
        <v>-80.31216231135582</v>
      </c>
      <c r="N9" s="29">
        <f t="shared" si="0"/>
        <v>1742.1760236114824</v>
      </c>
      <c r="O9" s="30">
        <f t="shared" si="0"/>
        <v>-30.921535174881374</v>
      </c>
      <c r="P9" s="29">
        <f t="shared" si="1"/>
        <v>-5732.6572431480263</v>
      </c>
      <c r="Q9" s="29">
        <f t="shared" si="1"/>
        <v>695.71458607490672</v>
      </c>
      <c r="R9" s="29">
        <f t="shared" si="1"/>
        <v>-33.280688294228526</v>
      </c>
      <c r="S9" s="30">
        <f>J9-O9*E9</f>
        <v>1207.8876028562261</v>
      </c>
    </row>
    <row r="10" spans="1:19" x14ac:dyDescent="0.2">
      <c r="A10" s="55" t="s">
        <v>226</v>
      </c>
      <c r="B10" s="73" t="s">
        <v>162</v>
      </c>
      <c r="C10" s="74"/>
      <c r="D10" s="74"/>
      <c r="E10" s="74"/>
      <c r="F10" s="75"/>
      <c r="G10" s="74" t="s">
        <v>163</v>
      </c>
      <c r="H10" s="74"/>
      <c r="I10" s="74"/>
      <c r="J10" s="74"/>
      <c r="K10" s="74"/>
      <c r="L10" s="73" t="s">
        <v>164</v>
      </c>
      <c r="M10" s="74"/>
      <c r="N10" s="74"/>
      <c r="O10" s="75"/>
      <c r="P10" s="74" t="s">
        <v>165</v>
      </c>
      <c r="Q10" s="74"/>
      <c r="R10" s="74"/>
      <c r="S10" s="75"/>
    </row>
    <row r="11" spans="1:19" x14ac:dyDescent="0.2">
      <c r="A11" s="25" t="s">
        <v>159</v>
      </c>
      <c r="B11" s="25">
        <v>0.3</v>
      </c>
      <c r="C11" s="26">
        <v>0.5</v>
      </c>
      <c r="D11" s="26">
        <v>0.8</v>
      </c>
      <c r="E11" s="26">
        <v>0.93049999999999999</v>
      </c>
      <c r="F11" s="27">
        <v>1</v>
      </c>
      <c r="G11" s="26">
        <v>509.24017706424149</v>
      </c>
      <c r="H11" s="26">
        <v>490.16894146976523</v>
      </c>
      <c r="I11" s="26">
        <v>800.77239528033533</v>
      </c>
      <c r="J11" s="26">
        <v>792.15845521166068</v>
      </c>
      <c r="K11" s="26">
        <v>0</v>
      </c>
      <c r="L11" s="25">
        <f>(H11-G11)/(C11-B11)</f>
        <v>-95.356177972381317</v>
      </c>
      <c r="M11" s="54">
        <f>(I11-H11)/(D11-C11)</f>
        <v>1035.3448460352336</v>
      </c>
      <c r="N11" s="54">
        <f>(J11-I11)/(E11-D11)</f>
        <v>-66.007203591376665</v>
      </c>
      <c r="O11" s="27">
        <f>(K11-J11)/(F11-E11)</f>
        <v>-11397.963384340441</v>
      </c>
      <c r="P11" s="54">
        <f>G11-L11*B11</f>
        <v>537.84703045595586</v>
      </c>
      <c r="Q11" s="54">
        <f>H11-M11*C11</f>
        <v>-27.50348154785155</v>
      </c>
      <c r="R11" s="54">
        <f>I11-N11*D11</f>
        <v>853.57815815343668</v>
      </c>
      <c r="S11" s="27">
        <f>J11-O11*E11</f>
        <v>11397.963384340441</v>
      </c>
    </row>
    <row r="12" spans="1:19" x14ac:dyDescent="0.2">
      <c r="A12" s="25" t="s">
        <v>3</v>
      </c>
      <c r="B12" s="25">
        <v>0.3</v>
      </c>
      <c r="C12" s="26">
        <v>0.5</v>
      </c>
      <c r="D12" s="26">
        <v>0.8</v>
      </c>
      <c r="E12" s="26">
        <v>0.93799999999999994</v>
      </c>
      <c r="F12" s="27">
        <v>1</v>
      </c>
      <c r="G12" s="26">
        <v>488.1552474646013</v>
      </c>
      <c r="H12" s="26">
        <v>469.1371785285591</v>
      </c>
      <c r="I12" s="26">
        <v>778.08378153990247</v>
      </c>
      <c r="J12" s="26">
        <v>771.70929841516454</v>
      </c>
      <c r="K12" s="26">
        <v>0</v>
      </c>
      <c r="L12" s="25">
        <f t="shared" ref="L12:O18" si="2">(H12-G12)/(C12-B12)</f>
        <v>-95.09034468021099</v>
      </c>
      <c r="M12" s="54">
        <f t="shared" si="2"/>
        <v>1029.822010037811</v>
      </c>
      <c r="N12" s="54">
        <f t="shared" si="2"/>
        <v>-46.191906700999567</v>
      </c>
      <c r="O12" s="27">
        <f t="shared" si="2"/>
        <v>-12446.924167986514</v>
      </c>
      <c r="P12" s="54">
        <f t="shared" ref="P12:S18" si="3">G12-L12*B12</f>
        <v>516.68235086866457</v>
      </c>
      <c r="Q12" s="54">
        <f t="shared" si="3"/>
        <v>-45.77382649034638</v>
      </c>
      <c r="R12" s="54">
        <f t="shared" si="3"/>
        <v>815.03730690070211</v>
      </c>
      <c r="S12" s="27">
        <f t="shared" si="3"/>
        <v>12446.924167986514</v>
      </c>
    </row>
    <row r="13" spans="1:19" x14ac:dyDescent="0.2">
      <c r="A13" s="25" t="s">
        <v>4</v>
      </c>
      <c r="B13" s="25">
        <v>0.3</v>
      </c>
      <c r="C13" s="26">
        <v>0.5</v>
      </c>
      <c r="D13" s="26">
        <v>0.8</v>
      </c>
      <c r="E13" s="26">
        <v>0.93300000000000005</v>
      </c>
      <c r="F13" s="27">
        <v>1</v>
      </c>
      <c r="G13" s="26">
        <v>492.20071767722726</v>
      </c>
      <c r="H13" s="26">
        <v>471.48252472776323</v>
      </c>
      <c r="I13" s="26">
        <v>771.2646129480712</v>
      </c>
      <c r="J13" s="26">
        <v>760.35401036192343</v>
      </c>
      <c r="K13" s="26">
        <v>0</v>
      </c>
      <c r="L13" s="25">
        <f t="shared" si="2"/>
        <v>-103.59096474732013</v>
      </c>
      <c r="M13" s="54">
        <f t="shared" si="2"/>
        <v>999.27362740102637</v>
      </c>
      <c r="N13" s="54">
        <f t="shared" si="2"/>
        <v>-82.034605910885517</v>
      </c>
      <c r="O13" s="27">
        <f t="shared" si="2"/>
        <v>-11348.567318834686</v>
      </c>
      <c r="P13" s="54">
        <f t="shared" si="3"/>
        <v>523.27800710142333</v>
      </c>
      <c r="Q13" s="54">
        <f t="shared" si="3"/>
        <v>-28.154288972749953</v>
      </c>
      <c r="R13" s="54">
        <f t="shared" si="3"/>
        <v>836.89229767677966</v>
      </c>
      <c r="S13" s="27">
        <f t="shared" si="3"/>
        <v>11348.567318834686</v>
      </c>
    </row>
    <row r="14" spans="1:19" x14ac:dyDescent="0.2">
      <c r="A14" s="25" t="s">
        <v>5</v>
      </c>
      <c r="B14" s="25">
        <v>0.3</v>
      </c>
      <c r="C14" s="26">
        <v>0.5</v>
      </c>
      <c r="D14" s="26">
        <v>0.8</v>
      </c>
      <c r="E14" s="26">
        <v>0.93700000000000006</v>
      </c>
      <c r="F14" s="27">
        <v>1</v>
      </c>
      <c r="G14" s="26">
        <v>484.22786669751258</v>
      </c>
      <c r="H14" s="26">
        <v>465.23982307208513</v>
      </c>
      <c r="I14" s="26">
        <v>767.78359356371323</v>
      </c>
      <c r="J14" s="26">
        <v>759.1285709064374</v>
      </c>
      <c r="K14" s="26">
        <v>0</v>
      </c>
      <c r="L14" s="25">
        <f t="shared" si="2"/>
        <v>-94.940218127137257</v>
      </c>
      <c r="M14" s="54">
        <f t="shared" si="2"/>
        <v>1008.4792349720935</v>
      </c>
      <c r="N14" s="54">
        <f t="shared" si="2"/>
        <v>-63.175347863327161</v>
      </c>
      <c r="O14" s="27">
        <f t="shared" si="2"/>
        <v>-12049.659855657746</v>
      </c>
      <c r="P14" s="54">
        <f t="shared" si="3"/>
        <v>512.70993213565373</v>
      </c>
      <c r="Q14" s="54">
        <f t="shared" si="3"/>
        <v>-38.999794413961638</v>
      </c>
      <c r="R14" s="54">
        <f t="shared" si="3"/>
        <v>818.32387185437494</v>
      </c>
      <c r="S14" s="27">
        <f t="shared" si="3"/>
        <v>12049.659855657746</v>
      </c>
    </row>
    <row r="15" spans="1:19" x14ac:dyDescent="0.2">
      <c r="A15" s="25" t="s">
        <v>6</v>
      </c>
      <c r="B15" s="25">
        <v>0.3</v>
      </c>
      <c r="C15" s="26">
        <v>0.4</v>
      </c>
      <c r="D15" s="26">
        <v>0.7</v>
      </c>
      <c r="E15" s="26">
        <v>0.9355</v>
      </c>
      <c r="F15" s="27">
        <v>1</v>
      </c>
      <c r="G15" s="26">
        <v>670.31444106852382</v>
      </c>
      <c r="H15" s="26">
        <v>658.4114859528114</v>
      </c>
      <c r="I15" s="26">
        <v>1176.0305310562467</v>
      </c>
      <c r="J15" s="26">
        <v>1162.8566203617111</v>
      </c>
      <c r="K15" s="26">
        <v>0</v>
      </c>
      <c r="L15" s="25">
        <f t="shared" si="2"/>
        <v>-119.02955115712412</v>
      </c>
      <c r="M15" s="54">
        <f t="shared" si="2"/>
        <v>1725.3968170114513</v>
      </c>
      <c r="N15" s="54">
        <f t="shared" si="2"/>
        <v>-55.940172800575816</v>
      </c>
      <c r="O15" s="27">
        <f t="shared" si="2"/>
        <v>-18028.784811809473</v>
      </c>
      <c r="P15" s="54">
        <f t="shared" si="3"/>
        <v>706.02330641566107</v>
      </c>
      <c r="Q15" s="54">
        <f t="shared" si="3"/>
        <v>-31.747240851769106</v>
      </c>
      <c r="R15" s="54">
        <f t="shared" si="3"/>
        <v>1215.1886520166497</v>
      </c>
      <c r="S15" s="27">
        <f t="shared" si="3"/>
        <v>18028.784811809473</v>
      </c>
    </row>
    <row r="16" spans="1:19" x14ac:dyDescent="0.2">
      <c r="A16" s="25" t="s">
        <v>7</v>
      </c>
      <c r="B16" s="25">
        <v>0.3</v>
      </c>
      <c r="C16" s="26">
        <v>0.4</v>
      </c>
      <c r="D16" s="26">
        <v>0.7</v>
      </c>
      <c r="E16" s="26">
        <v>0.9335</v>
      </c>
      <c r="F16" s="27">
        <v>1</v>
      </c>
      <c r="G16" s="26">
        <v>668.04409127138854</v>
      </c>
      <c r="H16" s="26">
        <v>657.39085395811969</v>
      </c>
      <c r="I16" s="26">
        <v>1169.420344417975</v>
      </c>
      <c r="J16" s="26">
        <v>1156.7712826338552</v>
      </c>
      <c r="K16" s="26">
        <v>0</v>
      </c>
      <c r="L16" s="25">
        <f t="shared" si="2"/>
        <v>-106.53237313268843</v>
      </c>
      <c r="M16" s="54">
        <f t="shared" si="2"/>
        <v>1706.7649681995181</v>
      </c>
      <c r="N16" s="54">
        <f t="shared" si="2"/>
        <v>-54.17157080993487</v>
      </c>
      <c r="O16" s="27">
        <f t="shared" si="2"/>
        <v>-17395.056881712106</v>
      </c>
      <c r="P16" s="54">
        <f t="shared" si="3"/>
        <v>700.00380321119508</v>
      </c>
      <c r="Q16" s="54">
        <f t="shared" si="3"/>
        <v>-25.31513332168754</v>
      </c>
      <c r="R16" s="54">
        <f t="shared" si="3"/>
        <v>1207.3404439849294</v>
      </c>
      <c r="S16" s="27">
        <f t="shared" si="3"/>
        <v>17395.056881712106</v>
      </c>
    </row>
    <row r="17" spans="1:19" x14ac:dyDescent="0.2">
      <c r="A17" s="25" t="s">
        <v>8</v>
      </c>
      <c r="B17" s="25">
        <v>0.3</v>
      </c>
      <c r="C17" s="26">
        <v>0.4</v>
      </c>
      <c r="D17" s="26">
        <v>0.7</v>
      </c>
      <c r="E17" s="26">
        <v>0.94</v>
      </c>
      <c r="F17" s="27">
        <v>1</v>
      </c>
      <c r="G17" s="26">
        <v>649.96080377094165</v>
      </c>
      <c r="H17" s="26">
        <v>640.85832217874031</v>
      </c>
      <c r="I17" s="26">
        <v>1152.3165596846377</v>
      </c>
      <c r="J17" s="26">
        <v>1149.1846239206116</v>
      </c>
      <c r="K17" s="26">
        <v>0</v>
      </c>
      <c r="L17" s="25">
        <f t="shared" si="2"/>
        <v>-91.024815922013403</v>
      </c>
      <c r="M17" s="54">
        <f t="shared" si="2"/>
        <v>1704.860791686325</v>
      </c>
      <c r="N17" s="54">
        <f t="shared" si="2"/>
        <v>-13.049732350108911</v>
      </c>
      <c r="O17" s="27">
        <f t="shared" si="2"/>
        <v>-19153.07706534351</v>
      </c>
      <c r="P17" s="54">
        <f t="shared" si="3"/>
        <v>677.26824854754568</v>
      </c>
      <c r="Q17" s="54">
        <f t="shared" si="3"/>
        <v>-41.085994495789691</v>
      </c>
      <c r="R17" s="54">
        <f t="shared" si="3"/>
        <v>1161.4513723297139</v>
      </c>
      <c r="S17" s="27">
        <f t="shared" si="3"/>
        <v>19153.07706534351</v>
      </c>
    </row>
    <row r="18" spans="1:19" x14ac:dyDescent="0.2">
      <c r="A18" s="28" t="s">
        <v>9</v>
      </c>
      <c r="B18" s="28">
        <v>0.3</v>
      </c>
      <c r="C18" s="29">
        <v>0.4</v>
      </c>
      <c r="D18" s="29">
        <v>0.7</v>
      </c>
      <c r="E18" s="29">
        <v>0.9365</v>
      </c>
      <c r="F18" s="30">
        <v>1</v>
      </c>
      <c r="G18" s="29">
        <v>663.78697957117913</v>
      </c>
      <c r="H18" s="29">
        <v>654.63538092795125</v>
      </c>
      <c r="I18" s="29">
        <v>1169.6730993867652</v>
      </c>
      <c r="J18" s="29">
        <v>1161.8984103264957</v>
      </c>
      <c r="K18" s="29">
        <v>0</v>
      </c>
      <c r="L18" s="28">
        <f>(H18-G18)/(C18-B18)</f>
        <v>-91.515986432278822</v>
      </c>
      <c r="M18" s="29">
        <f t="shared" si="2"/>
        <v>1716.7923948627135</v>
      </c>
      <c r="N18" s="29">
        <f t="shared" si="2"/>
        <v>-32.873949514881879</v>
      </c>
      <c r="O18" s="30">
        <f t="shared" si="2"/>
        <v>-18297.612761047174</v>
      </c>
      <c r="P18" s="29">
        <f t="shared" si="3"/>
        <v>691.24177550086279</v>
      </c>
      <c r="Q18" s="29">
        <f t="shared" si="3"/>
        <v>-32.081577017134236</v>
      </c>
      <c r="R18" s="29">
        <f t="shared" si="3"/>
        <v>1192.6848640471826</v>
      </c>
      <c r="S18" s="30">
        <f>J18-O18*E18</f>
        <v>18297.612761047174</v>
      </c>
    </row>
    <row r="20" spans="1:19" x14ac:dyDescent="0.2">
      <c r="A20" s="31" t="s">
        <v>166</v>
      </c>
    </row>
    <row r="21" spans="1:19" x14ac:dyDescent="0.2">
      <c r="A21" s="31" t="s">
        <v>167</v>
      </c>
    </row>
    <row r="22" spans="1:19" x14ac:dyDescent="0.2">
      <c r="A22" s="31" t="s">
        <v>168</v>
      </c>
    </row>
  </sheetData>
  <mergeCells count="8">
    <mergeCell ref="B1:F1"/>
    <mergeCell ref="G1:K1"/>
    <mergeCell ref="L1:O1"/>
    <mergeCell ref="P1:S1"/>
    <mergeCell ref="B10:F10"/>
    <mergeCell ref="G10:K10"/>
    <mergeCell ref="L10:O10"/>
    <mergeCell ref="P10:S10"/>
  </mergeCells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2820-FA8A-4DC4-B43F-DA81592CACD2}">
  <dimension ref="A1:H93"/>
  <sheetViews>
    <sheetView workbookViewId="0">
      <selection sqref="A1:C1"/>
    </sheetView>
  </sheetViews>
  <sheetFormatPr defaultColWidth="8.875" defaultRowHeight="15.75" x14ac:dyDescent="0.25"/>
  <cols>
    <col min="1" max="1" width="10.5" style="34" bestFit="1" customWidth="1"/>
    <col min="2" max="2" width="25" style="34" customWidth="1"/>
    <col min="3" max="3" width="30" style="34" bestFit="1" customWidth="1"/>
    <col min="4" max="4" width="10.5" style="34" bestFit="1" customWidth="1"/>
    <col min="5" max="5" width="25" style="34" customWidth="1"/>
    <col min="6" max="6" width="30" style="34" bestFit="1" customWidth="1"/>
    <col min="7" max="16384" width="8.875" style="37"/>
  </cols>
  <sheetData>
    <row r="1" spans="1:8" x14ac:dyDescent="0.25">
      <c r="A1" s="69" t="s">
        <v>99</v>
      </c>
      <c r="B1" s="69"/>
      <c r="C1" s="69"/>
      <c r="D1" s="69" t="s">
        <v>103</v>
      </c>
      <c r="E1" s="69"/>
      <c r="F1" s="69"/>
    </row>
    <row r="2" spans="1:8" x14ac:dyDescent="0.25">
      <c r="A2" s="34" t="s">
        <v>97</v>
      </c>
      <c r="B2" s="34" t="s">
        <v>98</v>
      </c>
      <c r="C2" s="34" t="s">
        <v>186</v>
      </c>
      <c r="D2" s="34" t="s">
        <v>97</v>
      </c>
      <c r="E2" s="34" t="s">
        <v>98</v>
      </c>
      <c r="F2" s="34" t="s">
        <v>186</v>
      </c>
    </row>
    <row r="3" spans="1:8" x14ac:dyDescent="0.25">
      <c r="A3" s="34">
        <v>180</v>
      </c>
      <c r="B3" s="34">
        <f>0.005778*A3^3-2.682*A3^2+484.8*A3-8411</f>
        <v>25653.495999999999</v>
      </c>
      <c r="C3" s="19">
        <f>1/B3/2</f>
        <v>1.9490520902102388E-5</v>
      </c>
      <c r="D3" s="34">
        <v>120</v>
      </c>
      <c r="E3" s="34">
        <f>0.005778*D3^3-2.682*D3^2+484.8*D3-8411</f>
        <v>21128.584000000003</v>
      </c>
      <c r="F3" s="19">
        <f>1/E3/2</f>
        <v>2.3664624188729352E-5</v>
      </c>
      <c r="H3" s="22" t="s">
        <v>189</v>
      </c>
    </row>
    <row r="4" spans="1:8" x14ac:dyDescent="0.25">
      <c r="A4" s="34">
        <v>179</v>
      </c>
      <c r="B4" s="34">
        <f t="shared" ref="B4:B67" si="0">0.005778*A4^3-2.682*A4^2+484.8*A4-8411</f>
        <v>25573.026742000002</v>
      </c>
      <c r="C4" s="19">
        <f t="shared" ref="C4:C67" si="1">1/B4/2</f>
        <v>1.9551850668455378E-5</v>
      </c>
      <c r="D4" s="34">
        <v>119</v>
      </c>
      <c r="E4" s="34">
        <f t="shared" ref="E4:E63" si="2">0.005778*D4^3-2.682*D4^2+484.8*D4-8411</f>
        <v>21037.246702000011</v>
      </c>
      <c r="F4" s="19">
        <f t="shared" ref="F4:F63" si="3">1/E4/2</f>
        <v>2.3767368757075278E-5</v>
      </c>
      <c r="H4" s="22" t="s">
        <v>191</v>
      </c>
    </row>
    <row r="5" spans="1:8" x14ac:dyDescent="0.25">
      <c r="A5" s="34">
        <v>178</v>
      </c>
      <c r="B5" s="34">
        <f t="shared" si="0"/>
        <v>25493.399056000009</v>
      </c>
      <c r="C5" s="19">
        <f t="shared" si="1"/>
        <v>1.9612920148532423E-5</v>
      </c>
      <c r="D5" s="34">
        <v>118</v>
      </c>
      <c r="E5" s="34">
        <f t="shared" si="2"/>
        <v>20944.670896000003</v>
      </c>
      <c r="F5" s="19">
        <f t="shared" si="3"/>
        <v>2.3872420936224385E-5</v>
      </c>
      <c r="H5" s="38" t="s">
        <v>192</v>
      </c>
    </row>
    <row r="6" spans="1:8" x14ac:dyDescent="0.25">
      <c r="A6" s="34">
        <v>177</v>
      </c>
      <c r="B6" s="34">
        <f t="shared" si="0"/>
        <v>25414.578274000014</v>
      </c>
      <c r="C6" s="19">
        <f t="shared" si="1"/>
        <v>1.967374766598103E-5</v>
      </c>
      <c r="D6" s="34">
        <v>117</v>
      </c>
      <c r="E6" s="34">
        <f t="shared" si="2"/>
        <v>20850.821914</v>
      </c>
      <c r="F6" s="19">
        <f t="shared" si="3"/>
        <v>2.3979870053193529E-5</v>
      </c>
      <c r="H6" s="38" t="s">
        <v>195</v>
      </c>
    </row>
    <row r="7" spans="1:8" x14ac:dyDescent="0.25">
      <c r="A7" s="34">
        <v>176</v>
      </c>
      <c r="B7" s="34">
        <f t="shared" si="0"/>
        <v>25336.529728000009</v>
      </c>
      <c r="C7" s="19">
        <f>1/B7/2</f>
        <v>1.9734352153501036E-5</v>
      </c>
      <c r="D7" s="34">
        <v>116</v>
      </c>
      <c r="E7" s="34">
        <f t="shared" si="2"/>
        <v>20755.665088000005</v>
      </c>
      <c r="F7" s="19">
        <f>1/E7/2</f>
        <v>2.4089808632009466E-5</v>
      </c>
      <c r="H7" s="45"/>
    </row>
    <row r="8" spans="1:8" x14ac:dyDescent="0.25">
      <c r="A8" s="34">
        <v>175</v>
      </c>
      <c r="B8" s="34">
        <f t="shared" si="0"/>
        <v>25259.21875</v>
      </c>
      <c r="C8" s="19">
        <f t="shared" si="1"/>
        <v>1.9794753153242318E-5</v>
      </c>
      <c r="D8" s="34">
        <v>115</v>
      </c>
      <c r="E8" s="34">
        <f t="shared" si="2"/>
        <v>20659.165750000004</v>
      </c>
      <c r="F8" s="19">
        <f t="shared" si="3"/>
        <v>2.4202332565147258E-5</v>
      </c>
    </row>
    <row r="9" spans="1:8" x14ac:dyDescent="0.25">
      <c r="A9" s="34">
        <v>174</v>
      </c>
      <c r="B9" s="34">
        <f t="shared" si="0"/>
        <v>25182.610671999995</v>
      </c>
      <c r="C9" s="19">
        <f t="shared" si="1"/>
        <v>1.9854970817459337E-5</v>
      </c>
      <c r="D9" s="34">
        <v>114</v>
      </c>
      <c r="E9" s="34">
        <f t="shared" si="2"/>
        <v>20561.28923200001</v>
      </c>
      <c r="F9" s="19">
        <f t="shared" si="3"/>
        <v>2.4317541296089472E-5</v>
      </c>
      <c r="H9" s="39" t="s">
        <v>187</v>
      </c>
    </row>
    <row r="10" spans="1:8" x14ac:dyDescent="0.25">
      <c r="A10" s="34">
        <v>173</v>
      </c>
      <c r="B10" s="34">
        <f t="shared" si="0"/>
        <v>25106.670826000016</v>
      </c>
      <c r="C10" s="19">
        <f t="shared" si="1"/>
        <v>1.991502590945706E-5</v>
      </c>
      <c r="D10" s="34">
        <v>113</v>
      </c>
      <c r="E10" s="34">
        <f t="shared" si="2"/>
        <v>20462.000866000002</v>
      </c>
      <c r="F10" s="19">
        <f t="shared" si="3"/>
        <v>2.4435538013821915E-5</v>
      </c>
    </row>
    <row r="11" spans="1:8" x14ac:dyDescent="0.25">
      <c r="A11" s="34">
        <v>172</v>
      </c>
      <c r="B11" s="34">
        <f t="shared" si="0"/>
        <v>25031.364544000011</v>
      </c>
      <c r="C11" s="19">
        <f t="shared" si="1"/>
        <v>1.9974939804863711E-5</v>
      </c>
      <c r="D11" s="34">
        <v>112</v>
      </c>
      <c r="E11" s="34">
        <f t="shared" si="2"/>
        <v>20361.265983999998</v>
      </c>
      <c r="F11" s="19">
        <f t="shared" si="3"/>
        <v>2.4556429860152258E-5</v>
      </c>
    </row>
    <row r="12" spans="1:8" x14ac:dyDescent="0.25">
      <c r="A12" s="34">
        <v>171</v>
      </c>
      <c r="B12" s="34">
        <f t="shared" si="0"/>
        <v>24956.657158000009</v>
      </c>
      <c r="C12" s="19">
        <f t="shared" si="1"/>
        <v>2.0034734493266136E-5</v>
      </c>
      <c r="D12" s="34">
        <v>111</v>
      </c>
      <c r="E12" s="34">
        <f t="shared" si="2"/>
        <v>20259.049918000004</v>
      </c>
      <c r="F12" s="19">
        <f t="shared" si="3"/>
        <v>2.4680328150815898E-5</v>
      </c>
    </row>
    <row r="13" spans="1:8" x14ac:dyDescent="0.25">
      <c r="A13" s="34">
        <v>170</v>
      </c>
      <c r="B13" s="34">
        <f t="shared" si="0"/>
        <v>24882.513999999996</v>
      </c>
      <c r="C13" s="19">
        <f t="shared" si="1"/>
        <v>2.0094432580244911E-5</v>
      </c>
      <c r="D13" s="34">
        <v>110</v>
      </c>
      <c r="E13" s="34">
        <f t="shared" si="2"/>
        <v>20155.317999999999</v>
      </c>
      <c r="F13" s="19">
        <f t="shared" si="3"/>
        <v>2.4807348611418587E-5</v>
      </c>
    </row>
    <row r="14" spans="1:8" x14ac:dyDescent="0.25">
      <c r="A14" s="34">
        <v>169</v>
      </c>
      <c r="B14" s="34">
        <f t="shared" si="0"/>
        <v>24808.900401999999</v>
      </c>
      <c r="C14" s="19">
        <f t="shared" si="1"/>
        <v>2.0154057289846346E-5</v>
      </c>
      <c r="D14" s="34">
        <v>109</v>
      </c>
      <c r="E14" s="34">
        <f t="shared" si="2"/>
        <v>20050.035562000005</v>
      </c>
      <c r="F14" s="19">
        <f t="shared" si="3"/>
        <v>2.4937611629359358E-5</v>
      </c>
    </row>
    <row r="15" spans="1:8" x14ac:dyDescent="0.25">
      <c r="A15" s="34">
        <v>168</v>
      </c>
      <c r="B15" s="34">
        <f t="shared" si="0"/>
        <v>24735.781696000013</v>
      </c>
      <c r="C15" s="19">
        <f t="shared" si="1"/>
        <v>2.0213632467529993E-5</v>
      </c>
      <c r="D15" s="34">
        <v>108</v>
      </c>
      <c r="E15" s="34">
        <f t="shared" si="2"/>
        <v>19943.167936000005</v>
      </c>
      <c r="F15" s="19">
        <f t="shared" si="3"/>
        <v>2.5071242522981272E-5</v>
      </c>
    </row>
    <row r="16" spans="1:8" x14ac:dyDescent="0.25">
      <c r="A16" s="34">
        <v>167</v>
      </c>
      <c r="B16" s="34">
        <f t="shared" si="0"/>
        <v>24663.123214000007</v>
      </c>
      <c r="C16" s="19">
        <f t="shared" si="1"/>
        <v>2.0273182583630581E-5</v>
      </c>
      <c r="D16" s="34">
        <v>107</v>
      </c>
      <c r="E16" s="34">
        <f t="shared" si="2"/>
        <v>19834.680453999998</v>
      </c>
      <c r="F16" s="19">
        <f t="shared" si="3"/>
        <v>2.5208371829311048E-5</v>
      </c>
    </row>
    <row r="17" spans="1:6" x14ac:dyDescent="0.25">
      <c r="A17" s="34">
        <v>166</v>
      </c>
      <c r="B17" s="34">
        <f t="shared" si="0"/>
        <v>24590.89028800001</v>
      </c>
      <c r="C17" s="19">
        <f t="shared" si="1"/>
        <v>2.0332732737374402E-5</v>
      </c>
      <c r="D17" s="34">
        <v>106</v>
      </c>
      <c r="E17" s="34">
        <f t="shared" si="2"/>
        <v>19724.538448000003</v>
      </c>
      <c r="F17" s="19">
        <f t="shared" si="3"/>
        <v>2.534913561187528E-5</v>
      </c>
    </row>
    <row r="18" spans="1:6" x14ac:dyDescent="0.25">
      <c r="A18" s="34">
        <v>165</v>
      </c>
      <c r="B18" s="34">
        <f t="shared" si="0"/>
        <v>24519.048250000007</v>
      </c>
      <c r="C18" s="19">
        <f t="shared" si="1"/>
        <v>2.0392308661491373E-5</v>
      </c>
      <c r="D18" s="34">
        <v>105</v>
      </c>
      <c r="E18" s="34">
        <f t="shared" si="2"/>
        <v>19612.707249999999</v>
      </c>
      <c r="F18" s="19">
        <f t="shared" si="3"/>
        <v>2.5493675790220141E-5</v>
      </c>
    </row>
    <row r="19" spans="1:6" x14ac:dyDescent="0.25">
      <c r="A19" s="34">
        <v>164</v>
      </c>
      <c r="B19" s="34">
        <f t="shared" si="0"/>
        <v>24447.562431999999</v>
      </c>
      <c r="C19" s="19">
        <f t="shared" si="1"/>
        <v>2.0451936727464413E-5</v>
      </c>
      <c r="D19" s="34">
        <v>104</v>
      </c>
      <c r="E19" s="34">
        <f t="shared" si="2"/>
        <v>19499.152192000005</v>
      </c>
      <c r="F19" s="19">
        <f t="shared" si="3"/>
        <v>2.5642140492915224E-5</v>
      </c>
    </row>
    <row r="20" spans="1:6" x14ac:dyDescent="0.25">
      <c r="A20" s="34">
        <v>163</v>
      </c>
      <c r="B20" s="34">
        <f t="shared" si="0"/>
        <v>24376.398166000006</v>
      </c>
      <c r="C20" s="19">
        <f t="shared" si="1"/>
        <v>2.0511643951459397E-5</v>
      </c>
      <c r="D20" s="34">
        <v>103</v>
      </c>
      <c r="E20" s="34">
        <f t="shared" si="2"/>
        <v>19383.838606000001</v>
      </c>
      <c r="F20" s="19">
        <f t="shared" si="3"/>
        <v>2.5794684435993596E-5</v>
      </c>
    </row>
    <row r="21" spans="1:6" x14ac:dyDescent="0.25">
      <c r="A21" s="34">
        <v>162</v>
      </c>
      <c r="B21" s="34">
        <f t="shared" si="0"/>
        <v>24305.520784000008</v>
      </c>
      <c r="C21" s="19">
        <f t="shared" si="1"/>
        <v>2.0571458000979891E-5</v>
      </c>
      <c r="D21" s="34">
        <v>102</v>
      </c>
      <c r="E21" s="34">
        <f t="shared" si="2"/>
        <v>19266.731824000002</v>
      </c>
      <c r="F21" s="19">
        <f t="shared" si="3"/>
        <v>2.5951469328968636E-5</v>
      </c>
    </row>
    <row r="22" spans="1:6" x14ac:dyDescent="0.25">
      <c r="A22" s="34">
        <v>161</v>
      </c>
      <c r="B22" s="34">
        <f t="shared" si="0"/>
        <v>24234.895618000002</v>
      </c>
      <c r="C22" s="19">
        <f t="shared" si="1"/>
        <v>2.0631407202291996E-5</v>
      </c>
      <c r="D22" s="34">
        <v>101</v>
      </c>
      <c r="E22" s="34">
        <f t="shared" si="2"/>
        <v>19147.797178000004</v>
      </c>
      <c r="F22" s="19">
        <f t="shared" si="3"/>
        <v>2.6112664310779231E-5</v>
      </c>
    </row>
    <row r="23" spans="1:6" x14ac:dyDescent="0.25">
      <c r="A23" s="34">
        <v>160</v>
      </c>
      <c r="B23" s="34">
        <f t="shared" si="0"/>
        <v>24164.488000000005</v>
      </c>
      <c r="C23" s="19">
        <f t="shared" si="1"/>
        <v>2.0691520548666288E-5</v>
      </c>
      <c r="D23" s="34">
        <v>100</v>
      </c>
      <c r="E23" s="34">
        <f t="shared" si="2"/>
        <v>19027</v>
      </c>
      <c r="F23" s="19">
        <f t="shared" si="3"/>
        <v>2.6278446418247754E-5</v>
      </c>
    </row>
    <row r="24" spans="1:6" x14ac:dyDescent="0.25">
      <c r="A24" s="34">
        <v>159</v>
      </c>
      <c r="B24" s="34">
        <f t="shared" si="0"/>
        <v>24094.263262000008</v>
      </c>
      <c r="C24" s="19">
        <f t="shared" si="1"/>
        <v>2.0751827709485073E-5</v>
      </c>
      <c r="D24" s="34">
        <v>99</v>
      </c>
      <c r="E24" s="34">
        <f t="shared" si="2"/>
        <v>18904.305622000007</v>
      </c>
      <c r="F24" s="19">
        <f t="shared" si="3"/>
        <v>2.6449001089895722E-5</v>
      </c>
    </row>
    <row r="25" spans="1:6" x14ac:dyDescent="0.25">
      <c r="A25" s="34">
        <v>158</v>
      </c>
      <c r="B25" s="34">
        <f t="shared" si="0"/>
        <v>24024.186736000003</v>
      </c>
      <c r="C25" s="19">
        <f t="shared" si="1"/>
        <v>2.0812359040264828E-5</v>
      </c>
      <c r="D25" s="34">
        <v>98</v>
      </c>
      <c r="E25" s="34">
        <f t="shared" si="2"/>
        <v>18779.679376</v>
      </c>
      <c r="F25" s="19">
        <f t="shared" si="3"/>
        <v>2.6624522708251799E-5</v>
      </c>
    </row>
    <row r="26" spans="1:6" x14ac:dyDescent="0.25">
      <c r="A26" s="34">
        <v>157</v>
      </c>
      <c r="B26" s="34">
        <f t="shared" si="0"/>
        <v>23954.223754000006</v>
      </c>
      <c r="C26" s="19">
        <f t="shared" si="1"/>
        <v>2.087314559364535E-5</v>
      </c>
      <c r="D26" s="34">
        <v>97</v>
      </c>
      <c r="E26" s="34">
        <f t="shared" si="2"/>
        <v>18653.086594</v>
      </c>
      <c r="F26" s="19">
        <f t="shared" si="3"/>
        <v>2.6805215184109597E-5</v>
      </c>
    </row>
    <row r="27" spans="1:6" x14ac:dyDescent="0.25">
      <c r="A27" s="34">
        <v>156</v>
      </c>
      <c r="B27" s="34">
        <f t="shared" si="0"/>
        <v>23884.339648000001</v>
      </c>
      <c r="C27" s="19">
        <f t="shared" si="1"/>
        <v>2.0934219131399281E-5</v>
      </c>
      <c r="D27" s="34">
        <v>96</v>
      </c>
      <c r="E27" s="34">
        <f t="shared" si="2"/>
        <v>18524.492608000004</v>
      </c>
      <c r="F27" s="19">
        <f t="shared" si="3"/>
        <v>2.6991292586554817E-5</v>
      </c>
    </row>
    <row r="28" spans="1:6" x14ac:dyDescent="0.25">
      <c r="A28" s="34">
        <v>155</v>
      </c>
      <c r="B28" s="34">
        <f t="shared" si="0"/>
        <v>23814.499750000003</v>
      </c>
      <c r="C28" s="19">
        <f t="shared" si="1"/>
        <v>2.0995612137517184E-5</v>
      </c>
      <c r="D28" s="34">
        <v>95</v>
      </c>
      <c r="E28" s="34">
        <f t="shared" si="2"/>
        <v>18393.86275</v>
      </c>
      <c r="F28" s="19">
        <f t="shared" si="3"/>
        <v>2.7182979822984706E-5</v>
      </c>
    </row>
    <row r="29" spans="1:6" x14ac:dyDescent="0.25">
      <c r="A29" s="34">
        <v>154</v>
      </c>
      <c r="B29" s="34">
        <f t="shared" si="0"/>
        <v>23744.669391999996</v>
      </c>
      <c r="C29" s="19">
        <f t="shared" si="1"/>
        <v>2.1057357832426127E-5</v>
      </c>
      <c r="D29" s="34">
        <v>94</v>
      </c>
      <c r="E29" s="34">
        <f t="shared" si="2"/>
        <v>18261.162352000007</v>
      </c>
      <c r="F29" s="19">
        <f t="shared" si="3"/>
        <v>2.7380513373796208E-5</v>
      </c>
    </row>
    <row r="30" spans="1:6" x14ac:dyDescent="0.25">
      <c r="A30" s="34">
        <v>153</v>
      </c>
      <c r="B30" s="34">
        <f t="shared" si="0"/>
        <v>23674.81390600001</v>
      </c>
      <c r="C30" s="19">
        <f t="shared" si="1"/>
        <v>2.111949018840156E-5</v>
      </c>
      <c r="D30" s="34">
        <v>93</v>
      </c>
      <c r="E30" s="34">
        <f t="shared" si="2"/>
        <v>18126.356746000005</v>
      </c>
      <c r="F30" s="19">
        <f t="shared" si="3"/>
        <v>2.7584142086927448E-5</v>
      </c>
    </row>
    <row r="31" spans="1:6" x14ac:dyDescent="0.25">
      <c r="A31" s="34">
        <v>152</v>
      </c>
      <c r="B31" s="34">
        <f t="shared" si="0"/>
        <v>23604.898624000009</v>
      </c>
      <c r="C31" s="19">
        <f t="shared" si="1"/>
        <v>2.1182043946235412E-5</v>
      </c>
      <c r="D31" s="34">
        <v>92</v>
      </c>
      <c r="E31" s="34">
        <f t="shared" si="2"/>
        <v>17989.411263999998</v>
      </c>
      <c r="F31" s="19">
        <f t="shared" si="3"/>
        <v>2.7794128038008041E-5</v>
      </c>
    </row>
    <row r="32" spans="1:6" x14ac:dyDescent="0.25">
      <c r="A32" s="34">
        <v>151</v>
      </c>
      <c r="B32" s="34">
        <f t="shared" si="0"/>
        <v>23534.888878000005</v>
      </c>
      <c r="C32" s="19">
        <f t="shared" si="1"/>
        <v>2.1245054633225445E-5</v>
      </c>
      <c r="D32" s="34">
        <v>91</v>
      </c>
      <c r="E32" s="34">
        <f t="shared" si="2"/>
        <v>17850.291238000005</v>
      </c>
      <c r="F32" s="19">
        <f t="shared" si="3"/>
        <v>2.8010747462517107E-5</v>
      </c>
    </row>
    <row r="33" spans="1:6" x14ac:dyDescent="0.25">
      <c r="A33" s="34">
        <v>150</v>
      </c>
      <c r="B33" s="34">
        <f t="shared" si="0"/>
        <v>23464.75</v>
      </c>
      <c r="C33" s="19">
        <f t="shared" si="1"/>
        <v>2.1308558582554682E-5</v>
      </c>
      <c r="D33" s="34">
        <v>90</v>
      </c>
      <c r="E33" s="34">
        <f t="shared" si="2"/>
        <v>17708.962</v>
      </c>
      <c r="F33" s="19">
        <f t="shared" si="3"/>
        <v>2.8234291767072516E-5</v>
      </c>
    </row>
    <row r="34" spans="1:6" x14ac:dyDescent="0.25">
      <c r="A34" s="34">
        <v>149</v>
      </c>
      <c r="B34" s="34">
        <f t="shared" si="0"/>
        <v>23394.447321999993</v>
      </c>
      <c r="C34" s="19">
        <f t="shared" si="1"/>
        <v>2.1372592954132458E-5</v>
      </c>
      <c r="D34" s="34">
        <v>89</v>
      </c>
      <c r="E34" s="34">
        <f t="shared" si="2"/>
        <v>17565.388882000007</v>
      </c>
      <c r="F34" s="19">
        <f t="shared" si="3"/>
        <v>2.8465068627792867E-5</v>
      </c>
    </row>
    <row r="35" spans="1:6" x14ac:dyDescent="0.25">
      <c r="A35" s="34">
        <v>148</v>
      </c>
      <c r="B35" s="34">
        <f t="shared" si="0"/>
        <v>23323.946176000012</v>
      </c>
      <c r="C35" s="19">
        <f t="shared" si="1"/>
        <v>2.1437195756972394E-5</v>
      </c>
      <c r="D35" s="34">
        <v>88</v>
      </c>
      <c r="E35" s="34">
        <f t="shared" si="2"/>
        <v>17419.537216000001</v>
      </c>
      <c r="F35" s="19">
        <f t="shared" si="3"/>
        <v>2.8703403184600424E-5</v>
      </c>
    </row>
    <row r="36" spans="1:6" x14ac:dyDescent="0.25">
      <c r="A36" s="34">
        <v>147</v>
      </c>
      <c r="B36" s="34">
        <f t="shared" si="0"/>
        <v>23253.211894000007</v>
      </c>
      <c r="C36" s="19">
        <f t="shared" si="1"/>
        <v>2.1502405873186675E-5</v>
      </c>
      <c r="D36" s="34">
        <v>87</v>
      </c>
      <c r="E36" s="34">
        <f t="shared" si="2"/>
        <v>17271.372334</v>
      </c>
      <c r="F36" s="19">
        <f t="shared" si="3"/>
        <v>2.8949639341380666E-5</v>
      </c>
    </row>
    <row r="37" spans="1:6" x14ac:dyDescent="0.25">
      <c r="A37" s="34">
        <v>146</v>
      </c>
      <c r="B37" s="34">
        <f t="shared" si="0"/>
        <v>23182.209808000007</v>
      </c>
      <c r="C37" s="19">
        <f t="shared" si="1"/>
        <v>2.1568263083679527E-5</v>
      </c>
      <c r="D37" s="34">
        <v>86</v>
      </c>
      <c r="E37" s="34">
        <f t="shared" si="2"/>
        <v>17120.859568000003</v>
      </c>
      <c r="F37" s="19">
        <f t="shared" si="3"/>
        <v>2.9204141183105808E-5</v>
      </c>
    </row>
    <row r="38" spans="1:6" x14ac:dyDescent="0.25">
      <c r="A38" s="34">
        <v>145</v>
      </c>
      <c r="B38" s="34">
        <f t="shared" si="0"/>
        <v>23110.905250000003</v>
      </c>
      <c r="C38" s="19">
        <f t="shared" si="1"/>
        <v>2.163480809562836E-5</v>
      </c>
      <c r="D38" s="34">
        <v>85</v>
      </c>
      <c r="E38" s="34">
        <f t="shared" si="2"/>
        <v>16967.964249999997</v>
      </c>
      <c r="F38" s="19">
        <f t="shared" si="3"/>
        <v>2.9467294522382087E-5</v>
      </c>
    </row>
    <row r="39" spans="1:6" x14ac:dyDescent="0.25">
      <c r="A39" s="34">
        <v>144</v>
      </c>
      <c r="B39" s="34">
        <f t="shared" si="0"/>
        <v>23039.263552000004</v>
      </c>
      <c r="C39" s="19">
        <f t="shared" si="1"/>
        <v>2.1702082571844869E-5</v>
      </c>
      <c r="D39" s="34">
        <v>84</v>
      </c>
      <c r="E39" s="34">
        <f t="shared" si="2"/>
        <v>16812.651712000006</v>
      </c>
      <c r="F39" s="19">
        <f t="shared" si="3"/>
        <v>2.973950858942291E-5</v>
      </c>
    </row>
    <row r="40" spans="1:6" x14ac:dyDescent="0.25">
      <c r="A40" s="34">
        <v>143</v>
      </c>
      <c r="B40" s="34">
        <f t="shared" si="0"/>
        <v>22967.250046000008</v>
      </c>
      <c r="C40" s="19">
        <f t="shared" si="1"/>
        <v>2.1770129162114482E-5</v>
      </c>
      <c r="D40" s="34">
        <v>83</v>
      </c>
      <c r="E40" s="34">
        <f t="shared" si="2"/>
        <v>16654.887286000005</v>
      </c>
      <c r="F40" s="19">
        <f t="shared" si="3"/>
        <v>3.0021217881209974E-5</v>
      </c>
    </row>
    <row r="41" spans="1:6" x14ac:dyDescent="0.25">
      <c r="A41" s="34">
        <v>142</v>
      </c>
      <c r="B41" s="34">
        <f t="shared" si="0"/>
        <v>22894.830064000009</v>
      </c>
      <c r="C41" s="19">
        <f t="shared" si="1"/>
        <v>2.1838991536617846E-5</v>
      </c>
      <c r="D41" s="34">
        <v>82</v>
      </c>
      <c r="E41" s="34">
        <f t="shared" si="2"/>
        <v>16494.636304</v>
      </c>
      <c r="F41" s="19">
        <f t="shared" si="3"/>
        <v>3.0312884187616096E-5</v>
      </c>
    </row>
    <row r="42" spans="1:6" x14ac:dyDescent="0.25">
      <c r="A42" s="34">
        <v>141</v>
      </c>
      <c r="B42" s="34">
        <f t="shared" si="0"/>
        <v>22821.968938000005</v>
      </c>
      <c r="C42" s="19">
        <f t="shared" si="1"/>
        <v>2.1908714421544443E-5</v>
      </c>
      <c r="D42" s="34">
        <v>81</v>
      </c>
      <c r="E42" s="34">
        <f t="shared" si="2"/>
        <v>16331.864098000005</v>
      </c>
      <c r="F42" s="19">
        <f t="shared" si="3"/>
        <v>3.0614998814570706E-5</v>
      </c>
    </row>
    <row r="43" spans="1:6" x14ac:dyDescent="0.25">
      <c r="A43" s="34">
        <v>140</v>
      </c>
      <c r="B43" s="34">
        <f t="shared" si="0"/>
        <v>22748.632000000005</v>
      </c>
      <c r="C43" s="19">
        <f t="shared" si="1"/>
        <v>2.1979343637015179E-5</v>
      </c>
      <c r="D43" s="34">
        <v>80</v>
      </c>
      <c r="E43" s="34">
        <f t="shared" si="2"/>
        <v>16166.536</v>
      </c>
      <c r="F43" s="19">
        <f t="shared" si="3"/>
        <v>3.0928085026996504E-5</v>
      </c>
    </row>
    <row r="44" spans="1:6" x14ac:dyDescent="0.25">
      <c r="A44" s="34">
        <v>139</v>
      </c>
      <c r="B44" s="34">
        <f t="shared" si="0"/>
        <v>22674.784582</v>
      </c>
      <c r="C44" s="19">
        <f t="shared" si="1"/>
        <v>2.2050926137438001E-5</v>
      </c>
      <c r="D44" s="34">
        <v>79</v>
      </c>
      <c r="E44" s="34">
        <f t="shared" si="2"/>
        <v>15998.617342000005</v>
      </c>
      <c r="F44" s="19">
        <f t="shared" si="3"/>
        <v>3.1252700737293493E-5</v>
      </c>
    </row>
    <row r="45" spans="1:6" x14ac:dyDescent="0.25">
      <c r="A45" s="34">
        <v>138</v>
      </c>
      <c r="B45" s="34">
        <f t="shared" si="0"/>
        <v>22600.392016000005</v>
      </c>
      <c r="C45" s="19">
        <f t="shared" si="1"/>
        <v>2.2123510054428423E-5</v>
      </c>
      <c r="D45" s="34">
        <v>78</v>
      </c>
      <c r="E45" s="34">
        <f t="shared" si="2"/>
        <v>15828.073456000002</v>
      </c>
      <c r="F45" s="19">
        <f t="shared" si="3"/>
        <v>3.1589441468662332E-5</v>
      </c>
    </row>
    <row r="46" spans="1:6" x14ac:dyDescent="0.25">
      <c r="A46" s="34">
        <v>137</v>
      </c>
      <c r="B46" s="34">
        <f t="shared" si="0"/>
        <v>22525.419634000005</v>
      </c>
      <c r="C46" s="19">
        <f t="shared" si="1"/>
        <v>2.2197144742435652E-5</v>
      </c>
      <c r="D46" s="34">
        <v>77</v>
      </c>
      <c r="E46" s="34">
        <f t="shared" si="2"/>
        <v>15654.869674000001</v>
      </c>
      <c r="F46" s="19">
        <f t="shared" si="3"/>
        <v>3.1938943626621975E-5</v>
      </c>
    </row>
    <row r="47" spans="1:6" x14ac:dyDescent="0.25">
      <c r="A47" s="34">
        <v>136</v>
      </c>
      <c r="B47" s="34">
        <f t="shared" si="0"/>
        <v>22449.832768000007</v>
      </c>
      <c r="C47" s="19">
        <f t="shared" si="1"/>
        <v>2.2271880827223802E-5</v>
      </c>
      <c r="D47" s="34">
        <v>76</v>
      </c>
      <c r="E47" s="34">
        <f t="shared" si="2"/>
        <v>15478.971328000003</v>
      </c>
      <c r="F47" s="19">
        <f t="shared" si="3"/>
        <v>3.2301888116786352E-5</v>
      </c>
    </row>
    <row r="48" spans="1:6" x14ac:dyDescent="0.25">
      <c r="A48" s="34">
        <v>135</v>
      </c>
      <c r="B48" s="34">
        <f t="shared" si="0"/>
        <v>22373.596750000004</v>
      </c>
      <c r="C48" s="19">
        <f t="shared" si="1"/>
        <v>2.2347770257368204E-5</v>
      </c>
      <c r="D48" s="34">
        <v>75</v>
      </c>
      <c r="E48" s="34">
        <f t="shared" si="2"/>
        <v>15300.34375</v>
      </c>
      <c r="F48" s="19">
        <f t="shared" si="3"/>
        <v>3.2679004352434893E-5</v>
      </c>
    </row>
    <row r="49" spans="1:6" x14ac:dyDescent="0.25">
      <c r="A49" s="34">
        <v>134</v>
      </c>
      <c r="B49" s="34">
        <f t="shared" si="0"/>
        <v>22296.676912000003</v>
      </c>
      <c r="C49" s="19">
        <f t="shared" si="1"/>
        <v>2.242486635893717E-5</v>
      </c>
      <c r="D49" s="34">
        <v>74</v>
      </c>
      <c r="E49" s="34">
        <f t="shared" si="2"/>
        <v>15118.952272000006</v>
      </c>
      <c r="F49" s="19">
        <f t="shared" si="3"/>
        <v>3.3071074701782733E-5</v>
      </c>
    </row>
    <row r="50" spans="1:6" x14ac:dyDescent="0.25">
      <c r="A50" s="34">
        <v>133</v>
      </c>
      <c r="B50" s="34">
        <f t="shared" si="0"/>
        <v>22219.038586000002</v>
      </c>
      <c r="C50" s="19">
        <f t="shared" si="1"/>
        <v>2.2503223893541688E-5</v>
      </c>
      <c r="D50" s="34">
        <v>73</v>
      </c>
      <c r="E50" s="34">
        <f t="shared" si="2"/>
        <v>14934.762226000003</v>
      </c>
      <c r="F50" s="19">
        <f t="shared" si="3"/>
        <v>3.347893943229625E-5</v>
      </c>
    </row>
    <row r="51" spans="1:6" x14ac:dyDescent="0.25">
      <c r="A51" s="34">
        <v>132</v>
      </c>
      <c r="B51" s="34">
        <f t="shared" si="0"/>
        <v>22140.647104000003</v>
      </c>
      <c r="C51" s="19">
        <f t="shared" si="1"/>
        <v>2.258289911994796E-5</v>
      </c>
      <c r="D51" s="34">
        <v>72</v>
      </c>
      <c r="E51" s="34">
        <f t="shared" si="2"/>
        <v>14747.738943999997</v>
      </c>
      <c r="F51" s="19">
        <f t="shared" si="3"/>
        <v>3.3903502218109246E-5</v>
      </c>
    </row>
    <row r="52" spans="1:6" x14ac:dyDescent="0.25">
      <c r="A52" s="34">
        <v>131</v>
      </c>
      <c r="B52" s="34">
        <f t="shared" si="0"/>
        <v>22061.467798000005</v>
      </c>
      <c r="C52" s="19">
        <f t="shared" si="1"/>
        <v>2.2663949859461654E-5</v>
      </c>
      <c r="D52" s="34">
        <v>71</v>
      </c>
      <c r="E52" s="34">
        <f t="shared" si="2"/>
        <v>14557.847758000004</v>
      </c>
      <c r="F52" s="19">
        <f t="shared" si="3"/>
        <v>3.4345736286823988E-5</v>
      </c>
    </row>
    <row r="53" spans="1:6" x14ac:dyDescent="0.25">
      <c r="A53" s="34">
        <v>130</v>
      </c>
      <c r="B53" s="34">
        <f t="shared" si="0"/>
        <v>21981.466000000004</v>
      </c>
      <c r="C53" s="19">
        <f t="shared" si="1"/>
        <v>2.2746435565307606E-5</v>
      </c>
      <c r="D53" s="34">
        <v>70</v>
      </c>
      <c r="E53" s="34">
        <f t="shared" si="2"/>
        <v>14365.054</v>
      </c>
      <c r="F53" s="19">
        <f t="shared" si="3"/>
        <v>3.4806691294025067E-5</v>
      </c>
    </row>
    <row r="54" spans="1:6" x14ac:dyDescent="0.25">
      <c r="A54" s="34">
        <v>129</v>
      </c>
      <c r="B54" s="34">
        <f t="shared" si="0"/>
        <v>21900.607042000011</v>
      </c>
      <c r="C54" s="19">
        <f t="shared" si="1"/>
        <v>2.2830417396244873E-5</v>
      </c>
      <c r="D54" s="34">
        <v>69</v>
      </c>
      <c r="E54" s="34">
        <f t="shared" si="2"/>
        <v>14169.323002000005</v>
      </c>
      <c r="F54" s="19">
        <f t="shared" si="3"/>
        <v>3.5287501028060751E-5</v>
      </c>
    </row>
    <row r="55" spans="1:6" x14ac:dyDescent="0.25">
      <c r="A55" s="34">
        <v>128</v>
      </c>
      <c r="B55" s="34">
        <f t="shared" si="0"/>
        <v>21818.856256000003</v>
      </c>
      <c r="C55" s="19">
        <f t="shared" si="1"/>
        <v>2.2915958294674781E-5</v>
      </c>
      <c r="D55" s="34">
        <v>68</v>
      </c>
      <c r="E55" s="34">
        <f t="shared" si="2"/>
        <v>13970.620096000002</v>
      </c>
      <c r="F55" s="19">
        <f t="shared" si="3"/>
        <v>3.5789392064505243E-5</v>
      </c>
    </row>
    <row r="56" spans="1:6" x14ac:dyDescent="0.25">
      <c r="A56" s="34">
        <v>127</v>
      </c>
      <c r="B56" s="34">
        <f t="shared" si="0"/>
        <v>21736.178974000002</v>
      </c>
      <c r="C56" s="19">
        <f t="shared" si="1"/>
        <v>2.3003123069518389E-5</v>
      </c>
      <c r="D56" s="34">
        <v>67</v>
      </c>
      <c r="E56" s="34">
        <f t="shared" si="2"/>
        <v>13768.910614</v>
      </c>
      <c r="F56" s="19">
        <f t="shared" si="3"/>
        <v>3.631369350975438E-5</v>
      </c>
    </row>
    <row r="57" spans="1:6" x14ac:dyDescent="0.25">
      <c r="A57" s="34">
        <v>126</v>
      </c>
      <c r="B57" s="34">
        <f t="shared" si="0"/>
        <v>21652.540528000005</v>
      </c>
      <c r="C57" s="19">
        <f t="shared" si="1"/>
        <v>2.3091978484160992E-5</v>
      </c>
      <c r="D57" s="34">
        <v>66</v>
      </c>
      <c r="E57" s="34">
        <f t="shared" si="2"/>
        <v>13564.159888000002</v>
      </c>
      <c r="F57" s="19">
        <f t="shared" si="3"/>
        <v>3.6861847997113486E-5</v>
      </c>
    </row>
    <row r="58" spans="1:6" x14ac:dyDescent="0.25">
      <c r="A58" s="34">
        <v>125</v>
      </c>
      <c r="B58" s="34">
        <f t="shared" si="0"/>
        <v>21567.90625</v>
      </c>
      <c r="C58" s="19">
        <f t="shared" si="1"/>
        <v>2.3182593349783314E-5</v>
      </c>
      <c r="D58" s="34">
        <v>65</v>
      </c>
      <c r="E58" s="34">
        <f t="shared" si="2"/>
        <v>13356.333250000003</v>
      </c>
      <c r="F58" s="19">
        <f t="shared" si="3"/>
        <v>3.7435424127351712E-5</v>
      </c>
    </row>
    <row r="59" spans="1:6" x14ac:dyDescent="0.25">
      <c r="A59" s="34">
        <v>124</v>
      </c>
      <c r="B59" s="34">
        <f t="shared" si="0"/>
        <v>21482.241472000002</v>
      </c>
      <c r="C59" s="19">
        <f t="shared" si="1"/>
        <v>2.3275038624423856E-5</v>
      </c>
      <c r="D59" s="34">
        <v>64</v>
      </c>
      <c r="E59" s="34">
        <f t="shared" si="2"/>
        <v>13145.396032000001</v>
      </c>
      <c r="F59" s="19">
        <f t="shared" si="3"/>
        <v>3.8036130580078671E-5</v>
      </c>
    </row>
    <row r="60" spans="1:6" x14ac:dyDescent="0.25">
      <c r="A60" s="34">
        <v>123</v>
      </c>
      <c r="B60" s="34">
        <f t="shared" si="0"/>
        <v>21395.511526000006</v>
      </c>
      <c r="C60" s="19">
        <f t="shared" si="1"/>
        <v>2.3369387518143503E-5</v>
      </c>
      <c r="D60" s="34">
        <v>63</v>
      </c>
      <c r="E60" s="34">
        <f t="shared" si="2"/>
        <v>12931.313566000001</v>
      </c>
      <c r="F60" s="19">
        <f t="shared" si="3"/>
        <v>3.866583216376705E-5</v>
      </c>
    </row>
    <row r="61" spans="1:6" x14ac:dyDescent="0.25">
      <c r="A61" s="34">
        <v>122</v>
      </c>
      <c r="B61" s="34">
        <f t="shared" si="0"/>
        <v>21307.681744000001</v>
      </c>
      <c r="C61" s="19">
        <f t="shared" si="1"/>
        <v>2.3465715604692392E-5</v>
      </c>
      <c r="D61" s="34">
        <v>62</v>
      </c>
      <c r="E61" s="34">
        <f t="shared" si="2"/>
        <v>12714.051184000004</v>
      </c>
      <c r="F61" s="19">
        <f t="shared" si="3"/>
        <v>3.9326568122458477E-5</v>
      </c>
    </row>
    <row r="62" spans="1:6" x14ac:dyDescent="0.25">
      <c r="A62" s="34">
        <v>121</v>
      </c>
      <c r="B62" s="34">
        <f t="shared" si="0"/>
        <v>21218.717458000006</v>
      </c>
      <c r="C62" s="19">
        <f t="shared" si="1"/>
        <v>2.356410094011064E-5</v>
      </c>
      <c r="D62" s="34">
        <v>61</v>
      </c>
      <c r="E62" s="34">
        <f t="shared" si="2"/>
        <v>12493.574218000002</v>
      </c>
      <c r="F62" s="19">
        <f t="shared" si="3"/>
        <v>4.002057307824927E-5</v>
      </c>
    </row>
    <row r="63" spans="1:6" x14ac:dyDescent="0.25">
      <c r="A63" s="34">
        <v>120</v>
      </c>
      <c r="B63" s="34">
        <f t="shared" si="0"/>
        <v>21128.584000000003</v>
      </c>
      <c r="C63" s="19">
        <f t="shared" si="1"/>
        <v>2.3664624188729352E-5</v>
      </c>
      <c r="D63" s="34">
        <v>60</v>
      </c>
      <c r="E63" s="34">
        <f t="shared" si="2"/>
        <v>12269.848000000002</v>
      </c>
      <c r="F63" s="19">
        <f t="shared" si="3"/>
        <v>4.0750301063224251E-5</v>
      </c>
    </row>
    <row r="64" spans="1:6" x14ac:dyDescent="0.25">
      <c r="A64" s="34">
        <v>119</v>
      </c>
      <c r="B64" s="34">
        <f t="shared" si="0"/>
        <v>21037.246702000011</v>
      </c>
      <c r="C64" s="19">
        <f t="shared" si="1"/>
        <v>2.3767368757075278E-5</v>
      </c>
      <c r="F64" s="19"/>
    </row>
    <row r="65" spans="1:6" x14ac:dyDescent="0.25">
      <c r="A65" s="34">
        <v>118</v>
      </c>
      <c r="B65" s="34">
        <f t="shared" si="0"/>
        <v>20944.670896000003</v>
      </c>
      <c r="C65" s="19">
        <f t="shared" si="1"/>
        <v>2.3872420936224385E-5</v>
      </c>
      <c r="F65" s="19"/>
    </row>
    <row r="66" spans="1:6" x14ac:dyDescent="0.25">
      <c r="A66" s="34">
        <v>117</v>
      </c>
      <c r="B66" s="34">
        <f t="shared" si="0"/>
        <v>20850.821914</v>
      </c>
      <c r="C66" s="19">
        <f t="shared" si="1"/>
        <v>2.3979870053193529E-5</v>
      </c>
      <c r="F66" s="19"/>
    </row>
    <row r="67" spans="1:6" x14ac:dyDescent="0.25">
      <c r="A67" s="34">
        <v>116</v>
      </c>
      <c r="B67" s="34">
        <f t="shared" si="0"/>
        <v>20755.665088000005</v>
      </c>
      <c r="C67" s="19">
        <f t="shared" si="1"/>
        <v>2.4089808632009466E-5</v>
      </c>
      <c r="F67" s="19"/>
    </row>
    <row r="68" spans="1:6" x14ac:dyDescent="0.25">
      <c r="A68" s="34">
        <v>115</v>
      </c>
      <c r="B68" s="34">
        <f t="shared" ref="B68:B93" si="4">0.005778*A68^3-2.682*A68^2+484.8*A68-8411</f>
        <v>20659.165750000004</v>
      </c>
      <c r="C68" s="19">
        <f t="shared" ref="C68:C93" si="5">1/B68/2</f>
        <v>2.4202332565147258E-5</v>
      </c>
      <c r="F68" s="19"/>
    </row>
    <row r="69" spans="1:6" x14ac:dyDescent="0.25">
      <c r="A69" s="34">
        <v>114</v>
      </c>
      <c r="B69" s="34">
        <f t="shared" si="4"/>
        <v>20561.28923200001</v>
      </c>
      <c r="C69" s="19">
        <f t="shared" si="5"/>
        <v>2.4317541296089472E-5</v>
      </c>
      <c r="F69" s="19"/>
    </row>
    <row r="70" spans="1:6" x14ac:dyDescent="0.25">
      <c r="A70" s="34">
        <v>113</v>
      </c>
      <c r="B70" s="34">
        <f t="shared" si="4"/>
        <v>20462.000866000002</v>
      </c>
      <c r="C70" s="19">
        <f t="shared" si="5"/>
        <v>2.4435538013821915E-5</v>
      </c>
      <c r="F70" s="19"/>
    </row>
    <row r="71" spans="1:6" x14ac:dyDescent="0.25">
      <c r="A71" s="34">
        <v>112</v>
      </c>
      <c r="B71" s="34">
        <f t="shared" si="4"/>
        <v>20361.265983999998</v>
      </c>
      <c r="C71" s="19">
        <f t="shared" si="5"/>
        <v>2.4556429860152258E-5</v>
      </c>
      <c r="F71" s="19"/>
    </row>
    <row r="72" spans="1:6" x14ac:dyDescent="0.25">
      <c r="A72" s="34">
        <v>111</v>
      </c>
      <c r="B72" s="34">
        <f t="shared" si="4"/>
        <v>20259.049918000004</v>
      </c>
      <c r="C72" s="19">
        <f t="shared" si="5"/>
        <v>2.4680328150815898E-5</v>
      </c>
      <c r="F72" s="19"/>
    </row>
    <row r="73" spans="1:6" x14ac:dyDescent="0.25">
      <c r="A73" s="34">
        <v>110</v>
      </c>
      <c r="B73" s="34">
        <f t="shared" si="4"/>
        <v>20155.317999999999</v>
      </c>
      <c r="C73" s="19">
        <f t="shared" si="5"/>
        <v>2.4807348611418587E-5</v>
      </c>
      <c r="F73" s="19"/>
    </row>
    <row r="74" spans="1:6" x14ac:dyDescent="0.25">
      <c r="A74" s="34">
        <v>109</v>
      </c>
      <c r="B74" s="34">
        <f t="shared" si="4"/>
        <v>20050.035562000005</v>
      </c>
      <c r="C74" s="19">
        <f t="shared" si="5"/>
        <v>2.4937611629359358E-5</v>
      </c>
      <c r="F74" s="19"/>
    </row>
    <row r="75" spans="1:6" x14ac:dyDescent="0.25">
      <c r="A75" s="34">
        <v>108</v>
      </c>
      <c r="B75" s="34">
        <f t="shared" si="4"/>
        <v>19943.167936000005</v>
      </c>
      <c r="C75" s="19">
        <f t="shared" si="5"/>
        <v>2.5071242522981272E-5</v>
      </c>
      <c r="F75" s="19"/>
    </row>
    <row r="76" spans="1:6" x14ac:dyDescent="0.25">
      <c r="A76" s="34">
        <v>107</v>
      </c>
      <c r="B76" s="34">
        <f t="shared" si="4"/>
        <v>19834.680453999998</v>
      </c>
      <c r="C76" s="19">
        <f t="shared" si="5"/>
        <v>2.5208371829311048E-5</v>
      </c>
      <c r="F76" s="19"/>
    </row>
    <row r="77" spans="1:6" x14ac:dyDescent="0.25">
      <c r="A77" s="34">
        <v>106</v>
      </c>
      <c r="B77" s="34">
        <f t="shared" si="4"/>
        <v>19724.538448000003</v>
      </c>
      <c r="C77" s="19">
        <f t="shared" si="5"/>
        <v>2.534913561187528E-5</v>
      </c>
      <c r="F77" s="19"/>
    </row>
    <row r="78" spans="1:6" x14ac:dyDescent="0.25">
      <c r="A78" s="34">
        <v>105</v>
      </c>
      <c r="B78" s="34">
        <f t="shared" si="4"/>
        <v>19612.707249999999</v>
      </c>
      <c r="C78" s="19">
        <f t="shared" si="5"/>
        <v>2.5493675790220141E-5</v>
      </c>
      <c r="F78" s="19"/>
    </row>
    <row r="79" spans="1:6" x14ac:dyDescent="0.25">
      <c r="A79" s="34">
        <v>104</v>
      </c>
      <c r="B79" s="34">
        <f t="shared" si="4"/>
        <v>19499.152192000005</v>
      </c>
      <c r="C79" s="19">
        <f t="shared" si="5"/>
        <v>2.5642140492915224E-5</v>
      </c>
      <c r="F79" s="19"/>
    </row>
    <row r="80" spans="1:6" x14ac:dyDescent="0.25">
      <c r="A80" s="34">
        <v>103</v>
      </c>
      <c r="B80" s="34">
        <f t="shared" si="4"/>
        <v>19383.838606000001</v>
      </c>
      <c r="C80" s="19">
        <f t="shared" si="5"/>
        <v>2.5794684435993596E-5</v>
      </c>
      <c r="F80" s="19"/>
    </row>
    <row r="81" spans="1:6" x14ac:dyDescent="0.25">
      <c r="A81" s="34">
        <v>102</v>
      </c>
      <c r="B81" s="34">
        <f t="shared" si="4"/>
        <v>19266.731824000002</v>
      </c>
      <c r="C81" s="19">
        <f t="shared" si="5"/>
        <v>2.5951469328968636E-5</v>
      </c>
      <c r="F81" s="19"/>
    </row>
    <row r="82" spans="1:6" x14ac:dyDescent="0.25">
      <c r="A82" s="34">
        <v>101</v>
      </c>
      <c r="B82" s="34">
        <f t="shared" si="4"/>
        <v>19147.797178000004</v>
      </c>
      <c r="C82" s="19">
        <f t="shared" si="5"/>
        <v>2.6112664310779231E-5</v>
      </c>
      <c r="F82" s="19"/>
    </row>
    <row r="83" spans="1:6" x14ac:dyDescent="0.25">
      <c r="A83" s="34">
        <v>100</v>
      </c>
      <c r="B83" s="34">
        <f t="shared" si="4"/>
        <v>19027</v>
      </c>
      <c r="C83" s="19">
        <f t="shared" si="5"/>
        <v>2.6278446418247754E-5</v>
      </c>
      <c r="F83" s="19"/>
    </row>
    <row r="84" spans="1:6" x14ac:dyDescent="0.25">
      <c r="A84" s="34">
        <v>99</v>
      </c>
      <c r="B84" s="34">
        <f t="shared" si="4"/>
        <v>18904.305622000007</v>
      </c>
      <c r="C84" s="19">
        <f t="shared" si="5"/>
        <v>2.6449001089895722E-5</v>
      </c>
      <c r="F84" s="19"/>
    </row>
    <row r="85" spans="1:6" x14ac:dyDescent="0.25">
      <c r="A85" s="34">
        <v>98</v>
      </c>
      <c r="B85" s="34">
        <f t="shared" si="4"/>
        <v>18779.679376</v>
      </c>
      <c r="C85" s="19">
        <f t="shared" si="5"/>
        <v>2.6624522708251799E-5</v>
      </c>
      <c r="F85" s="19"/>
    </row>
    <row r="86" spans="1:6" x14ac:dyDescent="0.25">
      <c r="A86" s="34">
        <v>97</v>
      </c>
      <c r="B86" s="34">
        <f t="shared" si="4"/>
        <v>18653.086594</v>
      </c>
      <c r="C86" s="19">
        <f t="shared" si="5"/>
        <v>2.6805215184109597E-5</v>
      </c>
      <c r="F86" s="19"/>
    </row>
    <row r="87" spans="1:6" x14ac:dyDescent="0.25">
      <c r="A87" s="34">
        <v>96</v>
      </c>
      <c r="B87" s="34">
        <f t="shared" si="4"/>
        <v>18524.492608000004</v>
      </c>
      <c r="C87" s="19">
        <f t="shared" si="5"/>
        <v>2.6991292586554817E-5</v>
      </c>
      <c r="F87" s="19"/>
    </row>
    <row r="88" spans="1:6" x14ac:dyDescent="0.25">
      <c r="A88" s="34">
        <v>95</v>
      </c>
      <c r="B88" s="34">
        <f t="shared" si="4"/>
        <v>18393.86275</v>
      </c>
      <c r="C88" s="19">
        <f t="shared" si="5"/>
        <v>2.7182979822984706E-5</v>
      </c>
      <c r="F88" s="19"/>
    </row>
    <row r="89" spans="1:6" x14ac:dyDescent="0.25">
      <c r="A89" s="34">
        <v>94</v>
      </c>
      <c r="B89" s="34">
        <f t="shared" si="4"/>
        <v>18261.162352000007</v>
      </c>
      <c r="C89" s="19">
        <f t="shared" si="5"/>
        <v>2.7380513373796208E-5</v>
      </c>
      <c r="F89" s="19"/>
    </row>
    <row r="90" spans="1:6" x14ac:dyDescent="0.25">
      <c r="A90" s="34">
        <v>93</v>
      </c>
      <c r="B90" s="34">
        <f t="shared" si="4"/>
        <v>18126.356746000005</v>
      </c>
      <c r="C90" s="19">
        <f t="shared" si="5"/>
        <v>2.7584142086927448E-5</v>
      </c>
      <c r="F90" s="19"/>
    </row>
    <row r="91" spans="1:6" x14ac:dyDescent="0.25">
      <c r="A91" s="34">
        <v>92</v>
      </c>
      <c r="B91" s="34">
        <f t="shared" si="4"/>
        <v>17989.411263999998</v>
      </c>
      <c r="C91" s="19">
        <f t="shared" si="5"/>
        <v>2.7794128038008041E-5</v>
      </c>
      <c r="F91" s="19"/>
    </row>
    <row r="92" spans="1:6" x14ac:dyDescent="0.25">
      <c r="A92" s="34">
        <v>91</v>
      </c>
      <c r="B92" s="34">
        <f t="shared" si="4"/>
        <v>17850.291238000005</v>
      </c>
      <c r="C92" s="19">
        <f t="shared" si="5"/>
        <v>2.8010747462517107E-5</v>
      </c>
      <c r="F92" s="19"/>
    </row>
    <row r="93" spans="1:6" x14ac:dyDescent="0.25">
      <c r="A93" s="34">
        <v>90</v>
      </c>
      <c r="B93" s="34">
        <f t="shared" si="4"/>
        <v>17708.962</v>
      </c>
      <c r="C93" s="19">
        <f t="shared" si="5"/>
        <v>2.8234291767072516E-5</v>
      </c>
      <c r="F93" s="19"/>
    </row>
  </sheetData>
  <mergeCells count="2">
    <mergeCell ref="A1:C1"/>
    <mergeCell ref="D1:F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unit</vt:lpstr>
      <vt:lpstr>wind</vt:lpstr>
      <vt:lpstr>load</vt:lpstr>
      <vt:lpstr>line</vt:lpstr>
      <vt:lpstr>node</vt:lpstr>
      <vt:lpstr>other</vt:lpstr>
      <vt:lpstr>IEQ_dfm</vt:lpstr>
      <vt:lpstr>IEQ_df60</vt:lpstr>
      <vt:lpstr>寿命损耗率函数</vt:lpstr>
      <vt:lpstr>寿命损耗率函数2</vt:lpstr>
      <vt:lpstr>碳排放强度函数</vt:lpstr>
      <vt:lpstr>机组造价</vt:lpstr>
      <vt:lpstr>成本曲线</vt:lpstr>
      <vt:lpstr>功率阶跃扰动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2024-01-23T13:52:55Z</dcterms:modified>
</cp:coreProperties>
</file>