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O2" sheetId="1" state="visible" r:id="rId2"/>
    <sheet name="SiN" sheetId="2" state="hidden" r:id="rId3"/>
    <sheet name="SiNs" sheetId="3" state="visible" r:id="rId4"/>
    <sheet name="Resume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<sst xmlns="http://schemas.openxmlformats.org/spreadsheetml/2006/main" count="152" uniqueCount="45">
  <si>
    <t xml:space="preserve">50 micras width</t>
  </si>
  <si>
    <t xml:space="preserve">freq</t>
  </si>
  <si>
    <t xml:space="preserve">2w</t>
  </si>
  <si>
    <t xml:space="preserve">ln(2w)</t>
  </si>
  <si>
    <t xml:space="preserve">Vload</t>
  </si>
  <si>
    <t xml:space="preserve">Vsample</t>
  </si>
  <si>
    <t xml:space="preserve">V3w*100</t>
  </si>
  <si>
    <t xml:space="preserve">V3w</t>
  </si>
  <si>
    <t xml:space="preserve">I</t>
  </si>
  <si>
    <t xml:space="preserve">P</t>
  </si>
  <si>
    <t xml:space="preserve">dT</t>
  </si>
  <si>
    <t xml:space="preserve">dt/P</t>
  </si>
  <si>
    <t xml:space="preserve">Con 0,0021 y 50 ohm</t>
  </si>
  <si>
    <t xml:space="preserve">Con 0.021 y 50 ohm</t>
  </si>
  <si>
    <t xml:space="preserve">Con 0,0021 y 100 ohm</t>
  </si>
  <si>
    <t xml:space="preserve">(l=2mm)</t>
  </si>
  <si>
    <t xml:space="preserve">30um</t>
  </si>
  <si>
    <t xml:space="preserve">50um</t>
  </si>
  <si>
    <t xml:space="preserve">h</t>
  </si>
  <si>
    <t xml:space="preserve">S(50µm)</t>
  </si>
  <si>
    <t xml:space="preserve">S(30µm)</t>
  </si>
  <si>
    <t xml:space="preserve">S(mean)</t>
  </si>
  <si>
    <t xml:space="preserve">ksubs</t>
  </si>
  <si>
    <t xml:space="preserve">30 micras width</t>
  </si>
  <si>
    <t xml:space="preserve">B(50µm)</t>
  </si>
  <si>
    <t xml:space="preserve">B(30µm)</t>
  </si>
  <si>
    <t xml:space="preserve">gamma</t>
  </si>
  <si>
    <t xml:space="preserve">numerador</t>
  </si>
  <si>
    <t xml:space="preserve">denominador</t>
  </si>
  <si>
    <t xml:space="preserve">kfilm</t>
  </si>
  <si>
    <t xml:space="preserve">evil gamma</t>
  </si>
  <si>
    <t xml:space="preserve">Si 50 ohm</t>
  </si>
  <si>
    <t xml:space="preserve">Si 100 ohm</t>
  </si>
  <si>
    <t xml:space="preserve">30 micras</t>
  </si>
  <si>
    <t xml:space="preserve">ksubs (W/mK)</t>
  </si>
  <si>
    <t xml:space="preserve">Ksubs (W/mK)</t>
  </si>
  <si>
    <t xml:space="preserve">Kfilm(W/mK)</t>
  </si>
  <si>
    <t xml:space="preserve">punto quitado</t>
  </si>
  <si>
    <t xml:space="preserve">SiO2</t>
  </si>
  <si>
    <t xml:space="preserve">SiN</t>
  </si>
  <si>
    <t xml:space="preserve">nuestros </t>
  </si>
  <si>
    <t xml:space="preserve">Kfilm (W/mK)</t>
  </si>
  <si>
    <t xml:space="preserve">Ksub (W/mK)</t>
  </si>
  <si>
    <t xml:space="preserve">papers</t>
  </si>
  <si>
    <t xml:space="preserve">kfilm (W/mK)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</si>
</sst>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FBFBF"/>
        <bgColor rgb="FFD9D9D9"/>
      </patternFill>
    </fill>
    <fill>
      <patternFill patternType="solid">
        <fgColor rgb="FFF4B183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_tradnl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ES_tradnl" sz="1400" spc="-1" strike="noStrike">
                <a:solidFill>
                  <a:srgbClr val="595959"/>
                </a:solidFill>
                <a:latin typeface="Calibri"/>
              </a:rPr>
              <a:t>dt/P vs ln(2w)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"50 micras"</c:f>
              <c:strCache>
                <c:ptCount val="1"/>
                <c:pt idx="0">
                  <c:v>50 micras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SiO2!$C$4:$C$12</c:f>
              <c:numCache>
                <c:formatCode>General</c:formatCode>
                <c:ptCount val="9"/>
                <c:pt idx="0">
                  <c:v>3.09104245335832</c:v>
                </c:pt>
                <c:pt idx="1">
                  <c:v>3.8286413964891</c:v>
                </c:pt>
                <c:pt idx="2">
                  <c:v>4.30406509320417</c:v>
                </c:pt>
                <c:pt idx="3">
                  <c:v>5.02388052084628</c:v>
                </c:pt>
                <c:pt idx="4">
                  <c:v>5.61320109642496</c:v>
                </c:pt>
                <c:pt idx="5">
                  <c:v>6.31720078717869</c:v>
                </c:pt>
                <c:pt idx="6">
                  <c:v>7.06648403483777</c:v>
                </c:pt>
                <c:pt idx="7">
                  <c:v>6.77083529441654</c:v>
                </c:pt>
                <c:pt idx="8">
                  <c:v>7.57666099516905</c:v>
                </c:pt>
              </c:numCache>
            </c:numRef>
          </c:xVal>
          <c:yVal>
            <c:numRef>
              <c:f>SiO2!$K$4:$K$12</c:f>
              <c:numCache>
                <c:formatCode>General</c:formatCode>
                <c:ptCount val="9"/>
                <c:pt idx="0">
                  <c:v>6.42684247898271</c:v>
                </c:pt>
                <c:pt idx="1">
                  <c:v>5.91026539069161</c:v>
                </c:pt>
                <c:pt idx="2">
                  <c:v>5.66208442284285</c:v>
                </c:pt>
                <c:pt idx="3">
                  <c:v>5.35376494522078</c:v>
                </c:pt>
                <c:pt idx="4">
                  <c:v>5.09865127213067</c:v>
                </c:pt>
                <c:pt idx="5">
                  <c:v>4.66593442923722</c:v>
                </c:pt>
                <c:pt idx="6">
                  <c:v>4.02483072354925</c:v>
                </c:pt>
                <c:pt idx="7">
                  <c:v>4.36005537247241</c:v>
                </c:pt>
                <c:pt idx="8">
                  <c:v>3.88124611442666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"30 micras"</c:f>
              <c:strCache>
                <c:ptCount val="1"/>
                <c:pt idx="0">
                  <c:v>30 micras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SiO2!$C$17:$C$27</c:f>
              <c:numCache>
                <c:formatCode>General</c:formatCode>
                <c:ptCount val="11"/>
                <c:pt idx="0">
                  <c:v>2.89037175789616</c:v>
                </c:pt>
                <c:pt idx="1">
                  <c:v>3.58351893845611</c:v>
                </c:pt>
                <c:pt idx="2">
                  <c:v>4.30406509320417</c:v>
                </c:pt>
                <c:pt idx="3">
                  <c:v>5.02388052084628</c:v>
                </c:pt>
                <c:pt idx="4">
                  <c:v>5.61320109642496</c:v>
                </c:pt>
                <c:pt idx="5">
                  <c:v>6.31720078717869</c:v>
                </c:pt>
                <c:pt idx="6">
                  <c:v>7.21670948670946</c:v>
                </c:pt>
                <c:pt idx="7">
                  <c:v>7.58885012101791</c:v>
                </c:pt>
                <c:pt idx="8">
                  <c:v>7.56841025909183</c:v>
                </c:pt>
                <c:pt idx="9">
                  <c:v>2.99473177322041</c:v>
                </c:pt>
                <c:pt idx="10">
                  <c:v>6.94126742151459</c:v>
                </c:pt>
              </c:numCache>
            </c:numRef>
          </c:xVal>
          <c:yVal>
            <c:numRef>
              <c:f>SiO2!$K$17:$K$27</c:f>
              <c:numCache>
                <c:formatCode>General</c:formatCode>
                <c:ptCount val="11"/>
                <c:pt idx="0">
                  <c:v>8.82302397171446</c:v>
                </c:pt>
                <c:pt idx="1">
                  <c:v>8.58213053610386</c:v>
                </c:pt>
                <c:pt idx="2">
                  <c:v>8.11028160820966</c:v>
                </c:pt>
                <c:pt idx="3">
                  <c:v>7.82722235723184</c:v>
                </c:pt>
                <c:pt idx="4">
                  <c:v>7.29463212212356</c:v>
                </c:pt>
                <c:pt idx="5">
                  <c:v>6.8758172322513</c:v>
                </c:pt>
                <c:pt idx="6">
                  <c:v>6.27485783536455</c:v>
                </c:pt>
                <c:pt idx="7">
                  <c:v>6.07771418565288</c:v>
                </c:pt>
                <c:pt idx="8">
                  <c:v>5.85217923813737</c:v>
                </c:pt>
                <c:pt idx="9">
                  <c:v>8.66934543627989</c:v>
                </c:pt>
                <c:pt idx="10">
                  <c:v>6.31355847049037</c:v>
                </c:pt>
              </c:numCache>
            </c:numRef>
          </c:yVal>
          <c:smooth val="0"/>
        </c:ser>
        <c:axId val="90284767"/>
        <c:axId val="40148637"/>
      </c:scatterChart>
      <c:valAx>
        <c:axId val="902847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595959"/>
                    </a:solidFill>
                    <a:latin typeface="Calibri"/>
                  </a:rPr>
                  <a:t>ln(2w)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48637"/>
        <c:crosses val="autoZero"/>
        <c:crossBetween val="midCat"/>
      </c:valAx>
      <c:valAx>
        <c:axId val="401486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595959"/>
                    </a:solidFill>
                    <a:latin typeface="Calibri"/>
                  </a:rPr>
                  <a:t>dt/P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8476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_tradnl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ES_tradnl" sz="1400" spc="-1" strike="noStrike">
                <a:solidFill>
                  <a:srgbClr val="595959"/>
                </a:solidFill>
                <a:latin typeface="Calibri"/>
              </a:rPr>
              <a:t>dt/P vs ln(2w)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"50 micras"</c:f>
              <c:strCache>
                <c:ptCount val="1"/>
                <c:pt idx="0">
                  <c:v>50 micras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SiNs!$C$4:$C$10</c:f>
              <c:numCache>
                <c:formatCode>General</c:formatCode>
                <c:ptCount val="7"/>
                <c:pt idx="0">
                  <c:v>2.99573227355399</c:v>
                </c:pt>
                <c:pt idx="1">
                  <c:v>4.0943445622221</c:v>
                </c:pt>
                <c:pt idx="2">
                  <c:v>4.60517018598809</c:v>
                </c:pt>
                <c:pt idx="3">
                  <c:v>4.9416424226093</c:v>
                </c:pt>
                <c:pt idx="4">
                  <c:v>5.29831736654804</c:v>
                </c:pt>
                <c:pt idx="5">
                  <c:v>5.99146454710798</c:v>
                </c:pt>
                <c:pt idx="6">
                  <c:v>6.39692965521615</c:v>
                </c:pt>
              </c:numCache>
            </c:numRef>
          </c:xVal>
          <c:yVal>
            <c:numRef>
              <c:f>SiNs!$K$4:$K$10</c:f>
              <c:numCache>
                <c:formatCode>General</c:formatCode>
                <c:ptCount val="7"/>
                <c:pt idx="0">
                  <c:v>6.55653321798097</c:v>
                </c:pt>
                <c:pt idx="1">
                  <c:v>5.36712386257843</c:v>
                </c:pt>
                <c:pt idx="2">
                  <c:v>5.07697397832419</c:v>
                </c:pt>
                <c:pt idx="3">
                  <c:v>4.78072360229283</c:v>
                </c:pt>
                <c:pt idx="4">
                  <c:v>4.69108503474984</c:v>
                </c:pt>
                <c:pt idx="5">
                  <c:v>4.22243393505973</c:v>
                </c:pt>
                <c:pt idx="6">
                  <c:v>4.001924001924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"30 micras"</c:f>
              <c:strCache>
                <c:ptCount val="1"/>
                <c:pt idx="0">
                  <c:v>30 micras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SiNs!$C$15:$C$25</c:f>
              <c:numCache>
                <c:formatCode>General</c:formatCode>
                <c:ptCount val="11"/>
                <c:pt idx="0">
                  <c:v>3.68887945411394</c:v>
                </c:pt>
                <c:pt idx="1">
                  <c:v>4.60517018598809</c:v>
                </c:pt>
                <c:pt idx="2">
                  <c:v>4.9416424226093</c:v>
                </c:pt>
                <c:pt idx="3">
                  <c:v>5.29831736654804</c:v>
                </c:pt>
                <c:pt idx="4">
                  <c:v>5.7037824746562</c:v>
                </c:pt>
                <c:pt idx="5">
                  <c:v>5.99146454710798</c:v>
                </c:pt>
                <c:pt idx="6">
                  <c:v>6.39692965521615</c:v>
                </c:pt>
                <c:pt idx="7">
                  <c:v>6.68461172766793</c:v>
                </c:pt>
                <c:pt idx="8">
                  <c:v>6.90775527898214</c:v>
                </c:pt>
                <c:pt idx="9">
                  <c:v>7.37775890822787</c:v>
                </c:pt>
              </c:numCache>
            </c:numRef>
          </c:xVal>
          <c:yVal>
            <c:numRef>
              <c:f>SiNs!$K$15:$K$25</c:f>
              <c:numCache>
                <c:formatCode>General</c:formatCode>
                <c:ptCount val="11"/>
                <c:pt idx="0">
                  <c:v>6.58392465748869</c:v>
                </c:pt>
                <c:pt idx="1">
                  <c:v>6.09675806231323</c:v>
                </c:pt>
                <c:pt idx="2">
                  <c:v>5.95485368383662</c:v>
                </c:pt>
                <c:pt idx="3">
                  <c:v>5.81252849724199</c:v>
                </c:pt>
                <c:pt idx="4">
                  <c:v>5.64557890736929</c:v>
                </c:pt>
                <c:pt idx="5">
                  <c:v>5.47748979472358</c:v>
                </c:pt>
                <c:pt idx="6">
                  <c:v>5.17782303630967</c:v>
                </c:pt>
                <c:pt idx="7">
                  <c:v>4.83247106015291</c:v>
                </c:pt>
                <c:pt idx="8">
                  <c:v>4.4816570911926</c:v>
                </c:pt>
                <c:pt idx="9">
                  <c:v>4.12923032942044</c:v>
                </c:pt>
              </c:numCache>
            </c:numRef>
          </c:yVal>
          <c:smooth val="0"/>
        </c:ser>
        <c:axId val="98034918"/>
        <c:axId val="3673237"/>
      </c:scatterChart>
      <c:valAx>
        <c:axId val="980349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s-ES_tradnl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595959"/>
                    </a:solidFill>
                    <a:latin typeface="Calibri"/>
                  </a:rPr>
                  <a:t>ln(2w)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73237"/>
        <c:crosses val="autoZero"/>
        <c:crossBetween val="midCat"/>
      </c:valAx>
      <c:valAx>
        <c:axId val="36732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_tradnl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s-ES_tradnl" sz="1000" spc="-1" strike="noStrike">
                    <a:solidFill>
                      <a:srgbClr val="595959"/>
                    </a:solidFill>
                    <a:latin typeface="Calibri"/>
                  </a:rPr>
                  <a:t>dt/P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3491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63360</xdr:colOff>
      <xdr:row>2</xdr:row>
      <xdr:rowOff>36360</xdr:rowOff>
    </xdr:from>
    <xdr:to>
      <xdr:col>17</xdr:col>
      <xdr:colOff>639000</xdr:colOff>
      <xdr:row>26</xdr:row>
      <xdr:rowOff>9000</xdr:rowOff>
    </xdr:to>
    <xdr:graphicFrame>
      <xdr:nvGraphicFramePr>
        <xdr:cNvPr id="0" name="Gráfico 1"/>
        <xdr:cNvGraphicFramePr/>
      </xdr:nvGraphicFramePr>
      <xdr:xfrm>
        <a:off x="7588080" y="417240"/>
        <a:ext cx="5842800" cy="41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262080</xdr:colOff>
      <xdr:row>4</xdr:row>
      <xdr:rowOff>92160</xdr:rowOff>
    </xdr:from>
    <xdr:to>
      <xdr:col>16</xdr:col>
      <xdr:colOff>83880</xdr:colOff>
      <xdr:row>28</xdr:row>
      <xdr:rowOff>1080</xdr:rowOff>
    </xdr:to>
    <xdr:graphicFrame>
      <xdr:nvGraphicFramePr>
        <xdr:cNvPr id="1" name="Gráfico 1"/>
        <xdr:cNvGraphicFramePr/>
      </xdr:nvGraphicFramePr>
      <xdr:xfrm>
        <a:off x="6281640" y="823680"/>
        <a:ext cx="5841720" cy="420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4"/>
  <sheetViews>
    <sheetView showFormulas="false" showGridLines="true" showRowColHeaders="true" showZeros="true" rightToLeft="false" tabSelected="true" showOutlineSymbols="true" defaultGridColor="true" view="normal" topLeftCell="N1" colorId="64" zoomScale="130" zoomScaleNormal="130" zoomScalePageLayoutView="100" workbookViewId="0">
      <selection pane="topLeft" activeCell="T11" activeCellId="0" sqref="T11"/>
    </sheetView>
  </sheetViews>
  <sheetFormatPr defaultColWidth="10.6796875" defaultRowHeight="15" zeroHeight="false" outlineLevelRow="0" outlineLevelCol="0"/>
  <cols>
    <col collapsed="false" customWidth="true" hidden="false" outlineLevel="0" max="20" min="20" style="0" width="11.84"/>
  </cols>
  <sheetData>
    <row r="1" s="1" customFormat="true" ht="1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0" t="s">
        <v>7</v>
      </c>
      <c r="H3" s="2" t="s">
        <v>8</v>
      </c>
      <c r="I3" s="2" t="s">
        <v>9</v>
      </c>
      <c r="J3" s="2" t="s">
        <v>10</v>
      </c>
      <c r="K3" s="2" t="s">
        <v>11</v>
      </c>
      <c r="S3" s="0" t="s">
        <v>12</v>
      </c>
      <c r="V3" s="0" t="s">
        <v>13</v>
      </c>
      <c r="Y3" s="0" t="s">
        <v>14</v>
      </c>
    </row>
    <row r="4" customFormat="false" ht="13.8" hidden="false" customHeight="false" outlineLevel="0" collapsed="false">
      <c r="A4" s="0" t="n">
        <v>11</v>
      </c>
      <c r="B4" s="0" t="n">
        <f aca="false">A4*2</f>
        <v>22</v>
      </c>
      <c r="C4" s="0" t="n">
        <f aca="false">LN(B4)</f>
        <v>3.09104245335832</v>
      </c>
      <c r="D4" s="0" t="n">
        <v>1.996685</v>
      </c>
      <c r="E4" s="0" t="n">
        <v>1.306746</v>
      </c>
      <c r="F4" s="0" t="n">
        <v>0.023008</v>
      </c>
      <c r="G4" s="0" t="n">
        <f aca="false">F4/100</f>
        <v>0.00023008</v>
      </c>
      <c r="H4" s="0" t="n">
        <f aca="false">D4/50</f>
        <v>0.0399337</v>
      </c>
      <c r="I4" s="0" t="n">
        <f aca="false">H4*E4/2</f>
        <v>0.0260916013701</v>
      </c>
      <c r="J4" s="0" t="n">
        <f aca="false">(2*G4)/(E4*0.0021)</f>
        <v>0.167686612030042</v>
      </c>
      <c r="K4" s="0" t="n">
        <f aca="false">J4/I4</f>
        <v>6.42684247898271</v>
      </c>
      <c r="S4" s="0" t="s">
        <v>15</v>
      </c>
      <c r="T4" s="0" t="n">
        <f aca="false">0.002</f>
        <v>0.002</v>
      </c>
      <c r="V4" s="0" t="s">
        <v>15</v>
      </c>
      <c r="W4" s="0" t="n">
        <f aca="false">0.002</f>
        <v>0.002</v>
      </c>
      <c r="Y4" s="0" t="s">
        <v>15</v>
      </c>
      <c r="Z4" s="0" t="n">
        <f aca="false">0.002</f>
        <v>0.002</v>
      </c>
    </row>
    <row r="5" customFormat="false" ht="13.8" hidden="false" customHeight="false" outlineLevel="0" collapsed="false">
      <c r="A5" s="0" t="n">
        <v>23</v>
      </c>
      <c r="B5" s="0" t="n">
        <f aca="false">A5*2</f>
        <v>46</v>
      </c>
      <c r="C5" s="0" t="n">
        <f aca="false">LN(B5)</f>
        <v>3.8286413964891</v>
      </c>
      <c r="D5" s="0" t="n">
        <v>1.996647</v>
      </c>
      <c r="E5" s="0" t="n">
        <v>1.306738</v>
      </c>
      <c r="F5" s="0" t="n">
        <v>0.021158</v>
      </c>
      <c r="G5" s="0" t="n">
        <f aca="false">F5/100</f>
        <v>0.00021158</v>
      </c>
      <c r="H5" s="0" t="n">
        <f aca="false">D5/50</f>
        <v>0.03993294</v>
      </c>
      <c r="I5" s="0" t="n">
        <f aca="false">H5*E5/2</f>
        <v>0.02609094507486</v>
      </c>
      <c r="J5" s="0" t="n">
        <f aca="false">(2*G5)/(E5*0.0021)</f>
        <v>0.154204409686381</v>
      </c>
      <c r="K5" s="0" t="n">
        <f aca="false">J5/I5</f>
        <v>5.91026539069161</v>
      </c>
      <c r="S5" s="0" t="s">
        <v>16</v>
      </c>
      <c r="T5" s="0" t="n">
        <f aca="false">15*10^-6</f>
        <v>1.5E-005</v>
      </c>
      <c r="V5" s="0" t="s">
        <v>16</v>
      </c>
      <c r="W5" s="0" t="n">
        <f aca="false">15*10^-6</f>
        <v>1.5E-005</v>
      </c>
      <c r="Y5" s="0" t="s">
        <v>16</v>
      </c>
      <c r="Z5" s="0" t="n">
        <f aca="false">15*10^-6</f>
        <v>1.5E-005</v>
      </c>
    </row>
    <row r="6" customFormat="false" ht="13.8" hidden="false" customHeight="false" outlineLevel="0" collapsed="false">
      <c r="A6" s="0" t="n">
        <v>37</v>
      </c>
      <c r="B6" s="0" t="n">
        <f aca="false">A6*2</f>
        <v>74</v>
      </c>
      <c r="C6" s="0" t="n">
        <f aca="false">LN(B6)</f>
        <v>4.30406509320417</v>
      </c>
      <c r="D6" s="0" t="n">
        <v>1.996514</v>
      </c>
      <c r="E6" s="0" t="n">
        <v>1.306764</v>
      </c>
      <c r="F6" s="0" t="n">
        <v>0.020269</v>
      </c>
      <c r="G6" s="0" t="n">
        <f aca="false">F6/100</f>
        <v>0.00020269</v>
      </c>
      <c r="H6" s="0" t="n">
        <f aca="false">D6/50</f>
        <v>0.03993028</v>
      </c>
      <c r="I6" s="0" t="n">
        <f aca="false">H6*E6/2</f>
        <v>0.02608972620696</v>
      </c>
      <c r="J6" s="0" t="n">
        <f aca="false">(2*G6)/(E6*0.0021)</f>
        <v>0.147722232352663</v>
      </c>
      <c r="K6" s="0" t="n">
        <f aca="false">J6/I6</f>
        <v>5.66208442284285</v>
      </c>
      <c r="S6" s="0" t="s">
        <v>17</v>
      </c>
      <c r="T6" s="0" t="n">
        <f aca="false">25*10^-6</f>
        <v>2.5E-005</v>
      </c>
      <c r="V6" s="0" t="s">
        <v>17</v>
      </c>
      <c r="W6" s="0" t="n">
        <f aca="false">25*10^-6</f>
        <v>2.5E-005</v>
      </c>
      <c r="Y6" s="0" t="s">
        <v>17</v>
      </c>
      <c r="Z6" s="0" t="n">
        <f aca="false">25*10^-6</f>
        <v>2.5E-005</v>
      </c>
    </row>
    <row r="7" customFormat="false" ht="13.8" hidden="false" customHeight="false" outlineLevel="0" collapsed="false">
      <c r="A7" s="0" t="n">
        <v>76</v>
      </c>
      <c r="B7" s="0" t="n">
        <f aca="false">A7*2</f>
        <v>152</v>
      </c>
      <c r="C7" s="0" t="n">
        <f aca="false">LN(B7)</f>
        <v>5.02388052084628</v>
      </c>
      <c r="D7" s="0" t="n">
        <v>1.995611</v>
      </c>
      <c r="E7" s="0" t="n">
        <v>1.306163</v>
      </c>
      <c r="F7" s="0" t="n">
        <v>0.019139</v>
      </c>
      <c r="G7" s="0" t="n">
        <f aca="false">F7/100</f>
        <v>0.00019139</v>
      </c>
      <c r="H7" s="0" t="n">
        <f aca="false">D7/50</f>
        <v>0.03991222</v>
      </c>
      <c r="I7" s="0" t="n">
        <f aca="false">H7*E7/2</f>
        <v>0.02606593250593</v>
      </c>
      <c r="J7" s="0" t="n">
        <f aca="false">(2*G7)/(E7*0.0021)</f>
        <v>0.139550875714739</v>
      </c>
      <c r="K7" s="0" t="n">
        <f aca="false">J7/I7</f>
        <v>5.35376494522078</v>
      </c>
      <c r="S7" s="0" t="s">
        <v>18</v>
      </c>
      <c r="T7" s="0" t="n">
        <f aca="false">400*10^(-9)</f>
        <v>4E-007</v>
      </c>
      <c r="V7" s="0" t="s">
        <v>18</v>
      </c>
      <c r="W7" s="0" t="n">
        <f aca="false">400*10^(-9)</f>
        <v>4E-007</v>
      </c>
      <c r="Y7" s="0" t="s">
        <v>18</v>
      </c>
      <c r="Z7" s="0" t="n">
        <f aca="false">400*10^(-9)</f>
        <v>4E-007</v>
      </c>
    </row>
    <row r="8" customFormat="false" ht="13.8" hidden="false" customHeight="false" outlineLevel="0" collapsed="false">
      <c r="A8" s="0" t="n">
        <v>137.01</v>
      </c>
      <c r="B8" s="0" t="n">
        <f aca="false">A8*2</f>
        <v>274.02</v>
      </c>
      <c r="C8" s="0" t="n">
        <f aca="false">LN(B8)</f>
        <v>5.61320109642496</v>
      </c>
      <c r="D8" s="0" t="n">
        <v>1.99207</v>
      </c>
      <c r="E8" s="0" t="n">
        <v>1.30384</v>
      </c>
      <c r="F8" s="0" t="n">
        <v>0.01813</v>
      </c>
      <c r="G8" s="0" t="n">
        <f aca="false">F8/100</f>
        <v>0.0001813</v>
      </c>
      <c r="H8" s="0" t="n">
        <f aca="false">D8/50</f>
        <v>0.0398414</v>
      </c>
      <c r="I8" s="0" t="n">
        <f aca="false">H8*E8/2</f>
        <v>0.025973405488</v>
      </c>
      <c r="J8" s="0" t="n">
        <f aca="false">(2*G8)/(E8*0.0021)</f>
        <v>0.132429336932957</v>
      </c>
      <c r="K8" s="0" t="n">
        <f aca="false">J8/I8</f>
        <v>5.09865127213067</v>
      </c>
    </row>
    <row r="9" customFormat="false" ht="13.8" hidden="false" customHeight="false" outlineLevel="0" collapsed="false">
      <c r="A9" s="0" t="n">
        <v>277.01</v>
      </c>
      <c r="B9" s="0" t="n">
        <f aca="false">A9*2</f>
        <v>554.02</v>
      </c>
      <c r="C9" s="0" t="n">
        <f aca="false">LN(B9)</f>
        <v>6.31720078717869</v>
      </c>
      <c r="D9" s="0" t="n">
        <v>1.981061</v>
      </c>
      <c r="E9" s="0" t="n">
        <v>1.296564</v>
      </c>
      <c r="F9" s="0" t="n">
        <v>0.016316</v>
      </c>
      <c r="G9" s="0" t="n">
        <f aca="false">F9/100</f>
        <v>0.00016316</v>
      </c>
      <c r="H9" s="0" t="n">
        <f aca="false">D9/50</f>
        <v>0.03962122</v>
      </c>
      <c r="I9" s="0" t="n">
        <f aca="false">H9*E9/2</f>
        <v>0.02568572374404</v>
      </c>
      <c r="J9" s="0" t="n">
        <f aca="false">(2*G9)/(E9*0.0021)</f>
        <v>0.119847902757192</v>
      </c>
      <c r="K9" s="0" t="n">
        <f aca="false">J9/I9</f>
        <v>4.66593442923722</v>
      </c>
      <c r="S9" s="0" t="s">
        <v>19</v>
      </c>
      <c r="T9" s="0" t="n">
        <v>-0.56168</v>
      </c>
      <c r="V9" s="0" t="s">
        <v>19</v>
      </c>
      <c r="W9" s="0" t="n">
        <v>-0.056168</v>
      </c>
      <c r="Y9" s="0" t="s">
        <v>19</v>
      </c>
      <c r="Z9" s="0" t="n">
        <f aca="false">-0.56168*2</f>
        <v>-1.12336</v>
      </c>
    </row>
    <row r="10" customFormat="false" ht="13.8" hidden="false" customHeight="false" outlineLevel="0" collapsed="false">
      <c r="A10" s="0" t="n">
        <v>586.01</v>
      </c>
      <c r="B10" s="0" t="n">
        <f aca="false">A10*2</f>
        <v>1172.02</v>
      </c>
      <c r="C10" s="0" t="n">
        <f aca="false">LN(B10)</f>
        <v>7.06648403483777</v>
      </c>
      <c r="D10" s="0" t="n">
        <v>1.970151</v>
      </c>
      <c r="E10" s="0" t="n">
        <v>1.283265</v>
      </c>
      <c r="F10" s="0" t="n">
        <v>0.013711</v>
      </c>
      <c r="G10" s="0" t="n">
        <f aca="false">F10/100</f>
        <v>0.00013711</v>
      </c>
      <c r="H10" s="0" t="n">
        <f aca="false">D10/50</f>
        <v>0.03940302</v>
      </c>
      <c r="I10" s="0" t="n">
        <f aca="false">H10*E10/2</f>
        <v>0.02528225823015</v>
      </c>
      <c r="J10" s="0" t="n">
        <f aca="false">(2*G10)/(E10*0.0021)</f>
        <v>0.101756809685414</v>
      </c>
      <c r="K10" s="0" t="n">
        <f aca="false">J10/I10</f>
        <v>4.02483072354925</v>
      </c>
      <c r="S10" s="0" t="s">
        <v>20</v>
      </c>
      <c r="T10" s="0" t="n">
        <v>-0.61515</v>
      </c>
      <c r="V10" s="0" t="s">
        <v>20</v>
      </c>
      <c r="W10" s="0" t="n">
        <v>-0.061515</v>
      </c>
      <c r="Y10" s="0" t="s">
        <v>20</v>
      </c>
      <c r="Z10" s="0" t="n">
        <f aca="false">-0.61515*2</f>
        <v>-1.2303</v>
      </c>
    </row>
    <row r="11" customFormat="false" ht="13.8" hidden="false" customHeight="false" outlineLevel="0" collapsed="false">
      <c r="A11" s="0" t="n">
        <v>436.02</v>
      </c>
      <c r="B11" s="0" t="n">
        <f aca="false">A11*2</f>
        <v>872.04</v>
      </c>
      <c r="C11" s="0" t="n">
        <f aca="false">LN(B11)</f>
        <v>6.77083529441654</v>
      </c>
      <c r="D11" s="0" t="n">
        <v>1.952119</v>
      </c>
      <c r="E11" s="0" t="n">
        <v>1.277627</v>
      </c>
      <c r="F11" s="0" t="n">
        <v>0.014588</v>
      </c>
      <c r="G11" s="0" t="n">
        <f aca="false">F11/100</f>
        <v>0.00014588</v>
      </c>
      <c r="H11" s="0" t="n">
        <f aca="false">D11/50</f>
        <v>0.03904238</v>
      </c>
      <c r="I11" s="0" t="n">
        <f aca="false">H11*E11/2</f>
        <v>0.02494079941613</v>
      </c>
      <c r="J11" s="0" t="n">
        <f aca="false">(2*G11)/(E11*0.0021)</f>
        <v>0.108743266488054</v>
      </c>
      <c r="K11" s="0" t="n">
        <f aca="false">J11/I11</f>
        <v>4.36005537247241</v>
      </c>
      <c r="S11" s="2" t="s">
        <v>21</v>
      </c>
      <c r="T11" s="3" t="n">
        <f aca="false">(T10+T9)/2</f>
        <v>-0.588415</v>
      </c>
      <c r="V11" s="2" t="s">
        <v>21</v>
      </c>
      <c r="W11" s="3" t="n">
        <f aca="false">(W10+W9)/2</f>
        <v>-0.0588415</v>
      </c>
      <c r="Y11" s="2" t="s">
        <v>21</v>
      </c>
      <c r="Z11" s="3" t="n">
        <f aca="false">(Z10+Z9)/2</f>
        <v>-1.17683</v>
      </c>
    </row>
    <row r="12" customFormat="false" ht="13.8" hidden="false" customHeight="false" outlineLevel="0" collapsed="false">
      <c r="A12" s="0" t="n">
        <v>976.05</v>
      </c>
      <c r="B12" s="0" t="n">
        <f aca="false">A12*2</f>
        <v>1952.1</v>
      </c>
      <c r="C12" s="0" t="n">
        <f aca="false">LN(B12)</f>
        <v>7.57666099516905</v>
      </c>
      <c r="D12" s="0" t="n">
        <v>1.962203</v>
      </c>
      <c r="E12" s="0" t="n">
        <v>1.251067</v>
      </c>
      <c r="F12" s="0" t="n">
        <v>0.012516</v>
      </c>
      <c r="G12" s="0" t="n">
        <f aca="false">F12/100</f>
        <v>0.00012516</v>
      </c>
      <c r="H12" s="0" t="n">
        <f aca="false">D12/50</f>
        <v>0.03924406</v>
      </c>
      <c r="I12" s="0" t="n">
        <f aca="false">H12*E12/2</f>
        <v>0.02454847420601</v>
      </c>
      <c r="J12" s="0" t="n">
        <f aca="false">(2*G12)/(E12*0.0021)</f>
        <v>0.0952786701271795</v>
      </c>
      <c r="K12" s="0" t="n">
        <f aca="false">J12/I12</f>
        <v>3.88124611442666</v>
      </c>
      <c r="S12" s="2" t="s">
        <v>22</v>
      </c>
      <c r="T12" s="2" t="n">
        <f aca="false">ABS(1/(2*PI()*T11*T4))</f>
        <v>135.240385690283</v>
      </c>
      <c r="V12" s="2" t="s">
        <v>22</v>
      </c>
      <c r="W12" s="2" t="n">
        <f aca="false">ABS(1/(2*PI()*W11*W4))</f>
        <v>1352.40385690283</v>
      </c>
      <c r="Y12" s="2" t="s">
        <v>22</v>
      </c>
      <c r="Z12" s="2" t="n">
        <f aca="false">ABS(1/(2*PI()*Z11*Z4))</f>
        <v>67.6201928451413</v>
      </c>
    </row>
    <row r="13" customFormat="false" ht="13.8" hidden="false" customHeight="false" outlineLevel="0" collapsed="false"/>
    <row r="14" s="1" customFormat="true" ht="13.8" hidden="false" customHeight="false" outlineLevel="0" collapsed="false">
      <c r="A14" s="1" t="s">
        <v>23</v>
      </c>
      <c r="R14" s="0"/>
      <c r="S14" s="1" t="s">
        <v>24</v>
      </c>
      <c r="T14" s="1" t="n">
        <v>8.1376</v>
      </c>
      <c r="V14" s="1" t="s">
        <v>24</v>
      </c>
      <c r="W14" s="1" t="n">
        <v>0.81376</v>
      </c>
      <c r="Y14" s="1" t="s">
        <v>24</v>
      </c>
      <c r="Z14" s="1" t="n">
        <f aca="false">8.1376*2</f>
        <v>16.2752</v>
      </c>
    </row>
    <row r="15" customFormat="false" ht="13.8" hidden="false" customHeight="false" outlineLevel="0" collapsed="false">
      <c r="S15" s="0" t="s">
        <v>25</v>
      </c>
      <c r="T15" s="0" t="n">
        <v>10.694</v>
      </c>
      <c r="V15" s="0" t="s">
        <v>25</v>
      </c>
      <c r="W15" s="0" t="n">
        <v>1.0694</v>
      </c>
      <c r="Y15" s="0" t="s">
        <v>25</v>
      </c>
      <c r="Z15" s="0" t="n">
        <f aca="false">10.694*2</f>
        <v>21.388</v>
      </c>
    </row>
    <row r="16" customFormat="false" ht="15" hidden="false" customHeight="false" outlineLevel="0" collapsed="false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0" t="s">
        <v>7</v>
      </c>
      <c r="H16" s="2" t="s">
        <v>8</v>
      </c>
      <c r="I16" s="2" t="s">
        <v>9</v>
      </c>
      <c r="J16" s="2" t="s">
        <v>10</v>
      </c>
      <c r="K16" s="2" t="s">
        <v>11</v>
      </c>
      <c r="L16" s="4"/>
      <c r="M16" s="4"/>
      <c r="N16" s="4"/>
      <c r="O16" s="4"/>
      <c r="P16" s="4"/>
      <c r="S16" s="0" t="s">
        <v>26</v>
      </c>
      <c r="T16" s="0" t="n">
        <f aca="false">ABS(T15-T14)</f>
        <v>2.5564</v>
      </c>
      <c r="V16" s="0" t="s">
        <v>26</v>
      </c>
      <c r="W16" s="0" t="n">
        <f aca="false">ABS(W15-W14)</f>
        <v>0.25564</v>
      </c>
      <c r="Y16" s="0" t="s">
        <v>26</v>
      </c>
      <c r="Z16" s="0" t="n">
        <f aca="false">ABS(Z15-Z14)</f>
        <v>5.1128</v>
      </c>
    </row>
    <row r="17" customFormat="false" ht="13.8" hidden="false" customHeight="false" outlineLevel="0" collapsed="false">
      <c r="A17" s="0" t="n">
        <v>9</v>
      </c>
      <c r="B17" s="0" t="n">
        <f aca="false">A17*2</f>
        <v>18</v>
      </c>
      <c r="C17" s="0" t="n">
        <f aca="false">LN(B17)</f>
        <v>2.89037175789616</v>
      </c>
      <c r="D17" s="0" t="n">
        <v>1.960153</v>
      </c>
      <c r="E17" s="0" t="n">
        <v>2.241074</v>
      </c>
      <c r="F17" s="0" t="n">
        <v>0.091203</v>
      </c>
      <c r="G17" s="0" t="n">
        <f aca="false">F17/100</f>
        <v>0.00091203</v>
      </c>
      <c r="H17" s="0" t="n">
        <f aca="false">D17/50</f>
        <v>0.03920306</v>
      </c>
      <c r="I17" s="0" t="n">
        <f aca="false">H17*E17/2</f>
        <v>0.04392847924322</v>
      </c>
      <c r="J17" s="0" t="n">
        <f aca="false">(2*G17)/(E17*0.0021)</f>
        <v>0.387582025403891</v>
      </c>
      <c r="K17" s="0" t="n">
        <f aca="false">J17/I17</f>
        <v>8.82302397171446</v>
      </c>
      <c r="S17" s="0" t="s">
        <v>27</v>
      </c>
      <c r="T17" s="0" t="n">
        <f aca="false">(1/(T5)-1/(T6))*T7</f>
        <v>0.0106666666666667</v>
      </c>
      <c r="V17" s="0" t="s">
        <v>27</v>
      </c>
      <c r="W17" s="0" t="n">
        <f aca="false">(1/(W5)-1/(W6))*W7</f>
        <v>0.0106666666666667</v>
      </c>
      <c r="Y17" s="0" t="s">
        <v>27</v>
      </c>
      <c r="Z17" s="0" t="n">
        <f aca="false">(1/(Z5)-1/(Z6))*Z7</f>
        <v>0.0106666666666667</v>
      </c>
    </row>
    <row r="18" customFormat="false" ht="13.8" hidden="false" customHeight="false" outlineLevel="0" collapsed="false">
      <c r="A18" s="0" t="n">
        <v>18</v>
      </c>
      <c r="B18" s="0" t="n">
        <f aca="false">A18*2</f>
        <v>36</v>
      </c>
      <c r="C18" s="0" t="n">
        <f aca="false">LN(B18)</f>
        <v>3.58351893845611</v>
      </c>
      <c r="D18" s="0" t="n">
        <v>1.927869</v>
      </c>
      <c r="E18" s="0" t="n">
        <v>2.23025</v>
      </c>
      <c r="F18" s="0" t="n">
        <v>0.086411</v>
      </c>
      <c r="G18" s="0" t="n">
        <f aca="false">F18/100</f>
        <v>0.00086411</v>
      </c>
      <c r="H18" s="0" t="n">
        <f aca="false">D18/50</f>
        <v>0.03855738</v>
      </c>
      <c r="I18" s="0" t="n">
        <f aca="false">H18*E18/2</f>
        <v>0.0429962983725</v>
      </c>
      <c r="J18" s="0" t="n">
        <f aca="false">(2*G18)/(E18*0.0021)</f>
        <v>0.368999845202065</v>
      </c>
      <c r="K18" s="0" t="n">
        <f aca="false">J18/I18</f>
        <v>8.58213053610386</v>
      </c>
      <c r="S18" s="0" t="s">
        <v>28</v>
      </c>
      <c r="T18" s="0" t="n">
        <f aca="false">2*T23*(T16-LN(T6/T5)/(2*PI()*T23*T12))</f>
        <v>0.00902329016236694</v>
      </c>
      <c r="V18" s="0" t="s">
        <v>28</v>
      </c>
      <c r="W18" s="0" t="n">
        <f aca="false">2*W23*(W16-LN(W6/W5)/(2*PI()*W23*W12))</f>
        <v>0.000902329016236693</v>
      </c>
      <c r="Y18" s="0" t="s">
        <v>28</v>
      </c>
      <c r="Z18" s="0" t="n">
        <f aca="false">2*Z23*(Z16-LN(Z6/Z5)/(2*PI()*Z23*Z12))</f>
        <v>0.0180465803247339</v>
      </c>
    </row>
    <row r="19" customFormat="false" ht="13.8" hidden="false" customHeight="false" outlineLevel="0" collapsed="false">
      <c r="A19" s="0" t="n">
        <v>37</v>
      </c>
      <c r="B19" s="0" t="n">
        <f aca="false">A19*2</f>
        <v>74</v>
      </c>
      <c r="C19" s="0" t="n">
        <f aca="false">LN(B19)</f>
        <v>4.30406509320417</v>
      </c>
      <c r="D19" s="0" t="n">
        <v>1.987598</v>
      </c>
      <c r="E19" s="0" t="n">
        <v>2.196281</v>
      </c>
      <c r="F19" s="0" t="n">
        <v>0.081645</v>
      </c>
      <c r="G19" s="0" t="n">
        <f aca="false">F19/100</f>
        <v>0.00081645</v>
      </c>
      <c r="H19" s="0" t="n">
        <f aca="false">D19/50</f>
        <v>0.03975196</v>
      </c>
      <c r="I19" s="0" t="n">
        <f aca="false">H19*E19/2</f>
        <v>0.04365323723038</v>
      </c>
      <c r="J19" s="0" t="n">
        <f aca="false">(2*G19)/(E19*0.0021)</f>
        <v>0.354040047048364</v>
      </c>
      <c r="K19" s="0" t="n">
        <f aca="false">J19/I19</f>
        <v>8.11028160820966</v>
      </c>
      <c r="S19" s="0" t="s">
        <v>29</v>
      </c>
      <c r="T19" s="0" t="n">
        <f aca="false">T17/T18</f>
        <v>1.18212608424737</v>
      </c>
      <c r="V19" s="0" t="s">
        <v>29</v>
      </c>
      <c r="W19" s="0" t="n">
        <f aca="false">W17/W18</f>
        <v>11.8212608424737</v>
      </c>
      <c r="Y19" s="0" t="s">
        <v>29</v>
      </c>
      <c r="Z19" s="0" t="n">
        <f aca="false">Z17/Z18</f>
        <v>0.591063042123686</v>
      </c>
    </row>
    <row r="20" customFormat="false" ht="13.8" hidden="false" customHeight="false" outlineLevel="0" collapsed="false">
      <c r="A20" s="0" t="n">
        <v>76</v>
      </c>
      <c r="B20" s="0" t="n">
        <f aca="false">A20*2</f>
        <v>152</v>
      </c>
      <c r="C20" s="0" t="n">
        <f aca="false">LN(B20)</f>
        <v>5.02388052084628</v>
      </c>
      <c r="D20" s="0" t="n">
        <v>1.981285</v>
      </c>
      <c r="E20" s="0" t="n">
        <v>2.181084</v>
      </c>
      <c r="F20" s="0" t="n">
        <v>0.077462</v>
      </c>
      <c r="G20" s="0" t="n">
        <f aca="false">F20/100</f>
        <v>0.00077462</v>
      </c>
      <c r="H20" s="0" t="n">
        <f aca="false">D20/50</f>
        <v>0.0396257</v>
      </c>
      <c r="I20" s="0" t="n">
        <f aca="false">H20*E20/2</f>
        <v>0.0432134901294</v>
      </c>
      <c r="J20" s="0" t="n">
        <f aca="false">(2*G20)/(E20*0.0021)</f>
        <v>0.338241596074857</v>
      </c>
      <c r="K20" s="0" t="n">
        <f aca="false">J20/I20</f>
        <v>7.82722235723184</v>
      </c>
    </row>
    <row r="21" customFormat="false" ht="13.8" hidden="false" customHeight="false" outlineLevel="0" collapsed="false">
      <c r="A21" s="0" t="n">
        <v>137.01</v>
      </c>
      <c r="B21" s="0" t="n">
        <f aca="false">A21*2</f>
        <v>274.02</v>
      </c>
      <c r="C21" s="0" t="n">
        <f aca="false">LN(B21)</f>
        <v>5.61320109642496</v>
      </c>
      <c r="D21" s="0" t="n">
        <v>1.991669</v>
      </c>
      <c r="E21" s="0" t="n">
        <v>2.176246</v>
      </c>
      <c r="F21" s="0" t="n">
        <v>0.072248</v>
      </c>
      <c r="G21" s="0" t="n">
        <f aca="false">F21/100</f>
        <v>0.00072248</v>
      </c>
      <c r="H21" s="0" t="n">
        <f aca="false">D21/50</f>
        <v>0.03983338</v>
      </c>
      <c r="I21" s="0" t="n">
        <f aca="false">H21*E21/2</f>
        <v>0.04334361694574</v>
      </c>
      <c r="J21" s="0" t="n">
        <f aca="false">(2*G21)/(E21*0.0021)</f>
        <v>0.316175740461414</v>
      </c>
      <c r="K21" s="0" t="n">
        <f aca="false">J21/I21</f>
        <v>7.29463212212356</v>
      </c>
    </row>
    <row r="22" customFormat="false" ht="13.8" hidden="false" customHeight="false" outlineLevel="0" collapsed="false">
      <c r="A22" s="0" t="n">
        <v>277.01</v>
      </c>
      <c r="B22" s="0" t="n">
        <f aca="false">A22*2</f>
        <v>554.02</v>
      </c>
      <c r="C22" s="0" t="n">
        <f aca="false">LN(B22)</f>
        <v>6.31720078717869</v>
      </c>
      <c r="D22" s="0" t="n">
        <v>1.989846</v>
      </c>
      <c r="E22" s="0" t="n">
        <v>2.163597</v>
      </c>
      <c r="F22" s="0" t="n">
        <v>0.067249</v>
      </c>
      <c r="G22" s="0" t="n">
        <f aca="false">F22/100</f>
        <v>0.00067249</v>
      </c>
      <c r="H22" s="0" t="n">
        <f aca="false">D22/50</f>
        <v>0.03979692</v>
      </c>
      <c r="I22" s="0" t="n">
        <f aca="false">H22*E22/2</f>
        <v>0.04305224836062</v>
      </c>
      <c r="J22" s="0" t="n">
        <f aca="false">(2*G22)/(E22*0.0021)</f>
        <v>0.296019391165114</v>
      </c>
      <c r="K22" s="0" t="n">
        <f aca="false">J22/I22</f>
        <v>6.8758172322513</v>
      </c>
    </row>
    <row r="23" customFormat="false" ht="13.8" hidden="false" customHeight="false" outlineLevel="0" collapsed="false">
      <c r="A23" s="0" t="n">
        <v>681</v>
      </c>
      <c r="B23" s="0" t="n">
        <f aca="false">A23*2</f>
        <v>1362</v>
      </c>
      <c r="C23" s="0" t="n">
        <f aca="false">LN(B23)</f>
        <v>7.21670948670946</v>
      </c>
      <c r="D23" s="0" t="n">
        <v>1.960743</v>
      </c>
      <c r="E23" s="0" t="n">
        <v>2.158731</v>
      </c>
      <c r="F23" s="0" t="n">
        <v>0.060202</v>
      </c>
      <c r="G23" s="0" t="n">
        <f aca="false">F23/100</f>
        <v>0.00060202</v>
      </c>
      <c r="H23" s="0" t="n">
        <f aca="false">D23/50</f>
        <v>0.03921486</v>
      </c>
      <c r="I23" s="0" t="n">
        <f aca="false">H23*E23/2</f>
        <v>0.04232716697133</v>
      </c>
      <c r="J23" s="0" t="n">
        <f aca="false">(2*G23)/(E23*0.0021)</f>
        <v>0.265596955318834</v>
      </c>
      <c r="K23" s="0" t="n">
        <f aca="false">J23/I23</f>
        <v>6.27485783536455</v>
      </c>
      <c r="S23" s="0" t="s">
        <v>15</v>
      </c>
      <c r="T23" s="0" t="n">
        <f aca="false">0.002</f>
        <v>0.002</v>
      </c>
      <c r="V23" s="0" t="s">
        <v>15</v>
      </c>
      <c r="W23" s="0" t="n">
        <f aca="false">0.002</f>
        <v>0.002</v>
      </c>
      <c r="Y23" s="0" t="s">
        <v>15</v>
      </c>
      <c r="Z23" s="0" t="n">
        <f aca="false">0.002</f>
        <v>0.002</v>
      </c>
    </row>
    <row r="24" customFormat="false" ht="13.8" hidden="false" customHeight="false" outlineLevel="0" collapsed="false">
      <c r="A24" s="0" t="n">
        <v>988.02</v>
      </c>
      <c r="B24" s="0" t="n">
        <f aca="false">A24*2</f>
        <v>1976.04</v>
      </c>
      <c r="C24" s="0" t="n">
        <f aca="false">LN(B24)</f>
        <v>7.58885012101791</v>
      </c>
      <c r="D24" s="0" t="n">
        <v>1.994111</v>
      </c>
      <c r="E24" s="0" t="n">
        <v>2.137589</v>
      </c>
      <c r="F24" s="0" t="n">
        <v>0.058147</v>
      </c>
      <c r="G24" s="0" t="n">
        <f aca="false">F24/100</f>
        <v>0.00058147</v>
      </c>
      <c r="H24" s="0" t="n">
        <f aca="false">D24/50</f>
        <v>0.03988222</v>
      </c>
      <c r="I24" s="0" t="n">
        <f aca="false">H24*E24/2</f>
        <v>0.04262589738379</v>
      </c>
      <c r="J24" s="0" t="n">
        <f aca="false">(2*G24)/(E24*0.0021)</f>
        <v>0.259068021205644</v>
      </c>
      <c r="K24" s="0" t="n">
        <f aca="false">J24/I24</f>
        <v>6.07771418565288</v>
      </c>
    </row>
    <row r="25" customFormat="false" ht="13.8" hidden="false" customHeight="false" outlineLevel="0" collapsed="false">
      <c r="A25" s="0" t="n">
        <v>968.03</v>
      </c>
      <c r="B25" s="0" t="n">
        <f aca="false">A25*2</f>
        <v>1936.06</v>
      </c>
      <c r="C25" s="0" t="n">
        <f aca="false">LN(B25)</f>
        <v>7.56841025909183</v>
      </c>
      <c r="D25" s="0" t="n">
        <v>1.998163</v>
      </c>
      <c r="E25" s="0" t="n">
        <v>2.142441</v>
      </c>
      <c r="F25" s="0" t="n">
        <v>0.056358</v>
      </c>
      <c r="G25" s="0" t="n">
        <f aca="false">F25/100</f>
        <v>0.00056358</v>
      </c>
      <c r="H25" s="0" t="n">
        <f aca="false">D25/50</f>
        <v>0.03996326</v>
      </c>
      <c r="I25" s="0" t="n">
        <f aca="false">H25*E25/2</f>
        <v>0.04280946335883</v>
      </c>
      <c r="J25" s="0" t="n">
        <f aca="false">(2*G25)/(E25*0.0021)</f>
        <v>0.250528652664347</v>
      </c>
      <c r="K25" s="0" t="n">
        <f aca="false">J25/I25</f>
        <v>5.85217923813737</v>
      </c>
    </row>
    <row r="26" customFormat="false" ht="13.8" hidden="false" customHeight="false" outlineLevel="0" collapsed="false">
      <c r="A26" s="0" t="n">
        <v>9.99</v>
      </c>
      <c r="B26" s="0" t="n">
        <f aca="false">A26*2</f>
        <v>19.98</v>
      </c>
      <c r="C26" s="0" t="n">
        <f aca="false">LN(B26)</f>
        <v>2.99473177322041</v>
      </c>
      <c r="D26" s="0" t="n">
        <v>1.99628</v>
      </c>
      <c r="E26" s="0" t="n">
        <v>2.246738</v>
      </c>
      <c r="F26" s="0" t="n">
        <v>0.091728</v>
      </c>
      <c r="G26" s="0" t="n">
        <f aca="false">F26/100</f>
        <v>0.00091728</v>
      </c>
      <c r="H26" s="0" t="n">
        <f aca="false">D26/50</f>
        <v>0.0399256</v>
      </c>
      <c r="I26" s="0" t="n">
        <f aca="false">H26*E26/2</f>
        <v>0.0448511813464</v>
      </c>
      <c r="J26" s="0" t="n">
        <f aca="false">(2*G26)/(E26*0.0021)</f>
        <v>0.388830384317175</v>
      </c>
      <c r="K26" s="0" t="n">
        <f aca="false">J26/I26</f>
        <v>8.66934543627989</v>
      </c>
    </row>
    <row r="27" customFormat="false" ht="13.8" hidden="false" customHeight="false" outlineLevel="0" collapsed="false">
      <c r="A27" s="0" t="n">
        <v>517.04</v>
      </c>
      <c r="B27" s="0" t="n">
        <f aca="false">A27*2</f>
        <v>1034.08</v>
      </c>
      <c r="C27" s="0" t="n">
        <f aca="false">LN(B27)</f>
        <v>6.94126742151459</v>
      </c>
      <c r="D27" s="0" t="n">
        <v>1.99069</v>
      </c>
      <c r="E27" s="0" t="n">
        <v>2.149852</v>
      </c>
      <c r="F27" s="0" t="n">
        <v>0.0609936</v>
      </c>
      <c r="G27" s="0" t="n">
        <f aca="false">F27/100</f>
        <v>0.000609936</v>
      </c>
      <c r="H27" s="0" t="n">
        <f aca="false">D27/50</f>
        <v>0.0398138</v>
      </c>
      <c r="I27" s="0" t="n">
        <f aca="false">H27*E27/2</f>
        <v>0.0427968887788</v>
      </c>
      <c r="J27" s="0" t="n">
        <f aca="false">(2*G27)/(E27*0.0021)</f>
        <v>0.270200659660027</v>
      </c>
      <c r="K27" s="0" t="n">
        <f aca="false">J27/I27</f>
        <v>6.31355847049037</v>
      </c>
    </row>
    <row r="34" customFormat="false" ht="15" hidden="false" customHeight="false" outlineLevel="0" collapsed="false">
      <c r="U34" s="0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9" activeCellId="0" sqref="B19"/>
    </sheetView>
  </sheetViews>
  <sheetFormatPr defaultColWidth="10.6796875" defaultRowHeight="15" zeroHeight="false" outlineLevelRow="0" outlineLevelCol="0"/>
  <sheetData>
    <row r="1" s="1" customFormat="true" ht="15" hidden="false" customHeight="false" outlineLevel="0" collapsed="false">
      <c r="A1" s="1" t="s">
        <v>23</v>
      </c>
    </row>
    <row r="3" customFormat="false" ht="15" hidden="false" customHeight="false" outlineLevel="0" collapsed="false">
      <c r="A3" s="2" t="s">
        <v>1</v>
      </c>
      <c r="B3" s="2" t="s">
        <v>4</v>
      </c>
      <c r="C3" s="2" t="s">
        <v>5</v>
      </c>
      <c r="D3" s="2" t="s">
        <v>7</v>
      </c>
    </row>
    <row r="4" customFormat="false" ht="15" hidden="false" customHeight="false" outlineLevel="0" collapsed="false">
      <c r="A4" s="0" t="n">
        <v>20</v>
      </c>
      <c r="B4" s="0" t="n">
        <v>1.996</v>
      </c>
      <c r="C4" s="0" t="n">
        <v>2.106</v>
      </c>
      <c r="D4" s="0" t="n">
        <v>0.0612</v>
      </c>
    </row>
    <row r="5" customFormat="false" ht="15" hidden="false" customHeight="false" outlineLevel="0" collapsed="false">
      <c r="A5" s="0" t="n">
        <v>50</v>
      </c>
      <c r="B5" s="0" t="n">
        <v>1.997</v>
      </c>
      <c r="C5" s="0" t="n">
        <v>2.106</v>
      </c>
      <c r="D5" s="0" t="n">
        <v>0.0567</v>
      </c>
    </row>
    <row r="6" customFormat="false" ht="15" hidden="false" customHeight="false" outlineLevel="0" collapsed="false">
      <c r="A6" s="0" t="n">
        <v>70</v>
      </c>
      <c r="B6" s="0" t="n">
        <v>1.996</v>
      </c>
      <c r="C6" s="0" t="n">
        <v>2.105</v>
      </c>
      <c r="D6" s="0" t="n">
        <v>0.0553</v>
      </c>
    </row>
    <row r="7" customFormat="false" ht="15" hidden="false" customHeight="false" outlineLevel="0" collapsed="false">
      <c r="A7" s="0" t="n">
        <v>100</v>
      </c>
      <c r="B7" s="0" t="n">
        <v>1.995</v>
      </c>
      <c r="C7" s="0" t="n">
        <v>2.104</v>
      </c>
      <c r="D7" s="0" t="n">
        <v>0.0539</v>
      </c>
    </row>
    <row r="8" customFormat="false" ht="15" hidden="false" customHeight="false" outlineLevel="0" collapsed="false">
      <c r="A8" s="0" t="n">
        <v>150</v>
      </c>
      <c r="B8" s="0" t="n">
        <v>1.993</v>
      </c>
      <c r="C8" s="0" t="n">
        <v>2.102</v>
      </c>
      <c r="D8" s="0" t="n">
        <v>0.0522</v>
      </c>
    </row>
    <row r="9" customFormat="false" ht="15" hidden="false" customHeight="false" outlineLevel="0" collapsed="false">
      <c r="A9" s="0" t="n">
        <v>200</v>
      </c>
      <c r="B9" s="0" t="n">
        <v>1.989</v>
      </c>
      <c r="C9" s="0" t="n">
        <v>2.099</v>
      </c>
      <c r="D9" s="0" t="n">
        <v>0.0504</v>
      </c>
    </row>
    <row r="10" customFormat="false" ht="15" hidden="false" customHeight="false" outlineLevel="0" collapsed="false">
      <c r="A10" s="0" t="n">
        <v>300</v>
      </c>
      <c r="B10" s="0" t="n">
        <v>1.981</v>
      </c>
      <c r="C10" s="0" t="n">
        <v>2.089</v>
      </c>
      <c r="D10" s="0" t="n">
        <v>0.047</v>
      </c>
    </row>
    <row r="11" customFormat="false" ht="15" hidden="false" customHeight="false" outlineLevel="0" collapsed="false">
      <c r="A11" s="0" t="n">
        <v>400</v>
      </c>
      <c r="B11" s="0" t="n">
        <v>1.969</v>
      </c>
      <c r="C11" s="0" t="n">
        <v>2.077</v>
      </c>
      <c r="D11" s="0" t="n">
        <v>0.0431</v>
      </c>
    </row>
    <row r="12" customFormat="false" ht="15" hidden="false" customHeight="false" outlineLevel="0" collapsed="false">
      <c r="A12" s="0" t="n">
        <v>500</v>
      </c>
      <c r="B12" s="0" t="n">
        <v>1.953</v>
      </c>
      <c r="C12" s="0" t="n">
        <v>2.06</v>
      </c>
      <c r="D12" s="0" t="n">
        <v>0.039</v>
      </c>
    </row>
    <row r="13" customFormat="false" ht="15" hidden="false" customHeight="false" outlineLevel="0" collapsed="false">
      <c r="A13" s="0" t="n">
        <v>800</v>
      </c>
      <c r="B13" s="0" t="n">
        <v>1.885</v>
      </c>
      <c r="C13" s="0" t="n">
        <v>1.988</v>
      </c>
      <c r="D13" s="0" t="n">
        <v>0.0323</v>
      </c>
    </row>
    <row r="14" customFormat="false" ht="15" hidden="false" customHeight="false" outlineLevel="0" collapsed="false">
      <c r="A14" s="0" t="n">
        <v>1000</v>
      </c>
      <c r="B14" s="0" t="n">
        <v>1.824</v>
      </c>
      <c r="C14" s="0" t="n">
        <v>1.923</v>
      </c>
      <c r="D14" s="0" t="n">
        <v>0.038</v>
      </c>
    </row>
    <row r="16" s="1" customFormat="true" ht="15" hidden="false" customHeight="false" outlineLevel="0" collapsed="false">
      <c r="A16" s="1" t="s">
        <v>0</v>
      </c>
    </row>
    <row r="18" customFormat="false" ht="15" hidden="false" customHeight="false" outlineLevel="0" collapsed="false">
      <c r="A18" s="2" t="s">
        <v>1</v>
      </c>
      <c r="B18" s="2" t="s">
        <v>4</v>
      </c>
      <c r="C18" s="2" t="s">
        <v>5</v>
      </c>
      <c r="D18" s="2" t="s">
        <v>7</v>
      </c>
    </row>
    <row r="19" customFormat="false" ht="15" hidden="false" customHeight="false" outlineLevel="0" collapsed="false">
      <c r="A19" s="0" t="n">
        <v>10</v>
      </c>
      <c r="B19" s="0" t="n">
        <v>1.997</v>
      </c>
      <c r="C19" s="0" t="n">
        <v>1.265</v>
      </c>
      <c r="D19" s="0" t="n">
        <v>0.022</v>
      </c>
    </row>
    <row r="20" customFormat="false" ht="15" hidden="false" customHeight="false" outlineLevel="0" collapsed="false">
      <c r="A20" s="0" t="n">
        <v>30</v>
      </c>
      <c r="B20" s="0" t="n">
        <v>1.996</v>
      </c>
      <c r="C20" s="0" t="n">
        <v>1.265</v>
      </c>
      <c r="D20" s="0" t="n">
        <v>0.018</v>
      </c>
    </row>
    <row r="21" customFormat="false" ht="15" hidden="false" customHeight="false" outlineLevel="0" collapsed="false">
      <c r="A21" s="0" t="n">
        <v>50</v>
      </c>
      <c r="B21" s="0" t="n">
        <v>1.996</v>
      </c>
      <c r="C21" s="0" t="n">
        <v>1.264</v>
      </c>
      <c r="D21" s="0" t="n">
        <v>0.017</v>
      </c>
    </row>
    <row r="22" customFormat="false" ht="15" hidden="false" customHeight="false" outlineLevel="0" collapsed="false">
      <c r="A22" s="0" t="n">
        <v>70</v>
      </c>
      <c r="B22" s="0" t="n">
        <v>1.995</v>
      </c>
      <c r="C22" s="0" t="n">
        <v>1.264</v>
      </c>
      <c r="D22" s="0" t="n">
        <v>0.016</v>
      </c>
    </row>
    <row r="23" customFormat="false" ht="15" hidden="false" customHeight="false" outlineLevel="0" collapsed="false">
      <c r="A23" s="0" t="n">
        <v>100</v>
      </c>
      <c r="B23" s="0" t="n">
        <v>1.995</v>
      </c>
      <c r="C23" s="0" t="n">
        <v>1.264</v>
      </c>
      <c r="D23" s="0" t="n">
        <v>0.0157</v>
      </c>
    </row>
    <row r="24" customFormat="false" ht="15" hidden="false" customHeight="false" outlineLevel="0" collapsed="false">
      <c r="A24" s="0" t="n">
        <v>200</v>
      </c>
      <c r="B24" s="0" t="n">
        <v>1.989</v>
      </c>
      <c r="C24" s="0" t="n">
        <v>1.26</v>
      </c>
      <c r="D24" s="0" t="n">
        <v>0.014</v>
      </c>
    </row>
    <row r="25" customFormat="false" ht="15" hidden="false" customHeight="false" outlineLevel="0" collapsed="false">
      <c r="A25" s="0" t="n">
        <v>300</v>
      </c>
      <c r="B25" s="0" t="n">
        <v>1.98</v>
      </c>
      <c r="C25" s="0" t="n">
        <v>1.25</v>
      </c>
      <c r="D25" s="0" t="n">
        <v>0.013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T5" activeCellId="0" sqref="T5"/>
    </sheetView>
  </sheetViews>
  <sheetFormatPr defaultColWidth="10.6796875" defaultRowHeight="15" zeroHeight="false" outlineLevelRow="0" outlineLevelCol="0"/>
  <cols>
    <col collapsed="false" customWidth="true" hidden="false" outlineLevel="0" max="20" min="20" style="0" width="11.84"/>
    <col collapsed="false" customWidth="true" hidden="false" outlineLevel="0" max="21" min="21" style="0" width="12.5"/>
    <col collapsed="false" customWidth="true" hidden="false" outlineLevel="0" max="22" min="22" style="0" width="11.84"/>
  </cols>
  <sheetData>
    <row r="1" s="1" customFormat="true" ht="1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0" t="s">
        <v>7</v>
      </c>
      <c r="H3" s="2" t="s">
        <v>8</v>
      </c>
      <c r="I3" s="2" t="s">
        <v>9</v>
      </c>
      <c r="J3" s="2" t="s">
        <v>10</v>
      </c>
      <c r="K3" s="2" t="s">
        <v>11</v>
      </c>
      <c r="S3" s="0" t="s">
        <v>31</v>
      </c>
      <c r="X3" s="0" t="s">
        <v>32</v>
      </c>
    </row>
    <row r="4" customFormat="false" ht="13.8" hidden="false" customHeight="false" outlineLevel="0" collapsed="false">
      <c r="A4" s="0" t="n">
        <v>10</v>
      </c>
      <c r="B4" s="0" t="n">
        <f aca="false">A4*2</f>
        <v>20</v>
      </c>
      <c r="C4" s="0" t="n">
        <f aca="false">LN(B4)</f>
        <v>2.99573227355399</v>
      </c>
      <c r="D4" s="0" t="n">
        <v>1.997</v>
      </c>
      <c r="E4" s="0" t="n">
        <v>1.265</v>
      </c>
      <c r="F4" s="0" t="n">
        <v>0.022</v>
      </c>
      <c r="G4" s="0" t="n">
        <f aca="false">F4/100</f>
        <v>0.00022</v>
      </c>
      <c r="H4" s="0" t="n">
        <f aca="false">D4/50</f>
        <v>0.03994</v>
      </c>
      <c r="I4" s="0" t="n">
        <f aca="false">H4*E4/2</f>
        <v>0.02526205</v>
      </c>
      <c r="J4" s="0" t="n">
        <f aca="false">(2*G4)/(E4*0.0021)</f>
        <v>0.165631469979296</v>
      </c>
      <c r="K4" s="0" t="n">
        <f aca="false">J4/I4</f>
        <v>6.55653321798097</v>
      </c>
      <c r="S4" s="0" t="s">
        <v>15</v>
      </c>
      <c r="T4" s="0" t="n">
        <f aca="false">0.002</f>
        <v>0.002</v>
      </c>
      <c r="X4" s="0" t="s">
        <v>15</v>
      </c>
      <c r="Y4" s="0" t="n">
        <f aca="false">0.002</f>
        <v>0.002</v>
      </c>
    </row>
    <row r="5" customFormat="false" ht="13.8" hidden="false" customHeight="false" outlineLevel="0" collapsed="false">
      <c r="A5" s="0" t="n">
        <v>30</v>
      </c>
      <c r="B5" s="0" t="n">
        <f aca="false">A5*2</f>
        <v>60</v>
      </c>
      <c r="C5" s="0" t="n">
        <f aca="false">LN(B5)</f>
        <v>4.0943445622221</v>
      </c>
      <c r="D5" s="0" t="n">
        <v>1.996</v>
      </c>
      <c r="E5" s="0" t="n">
        <v>1.265</v>
      </c>
      <c r="F5" s="0" t="n">
        <v>0.018</v>
      </c>
      <c r="G5" s="0" t="n">
        <f aca="false">F5/100</f>
        <v>0.00018</v>
      </c>
      <c r="H5" s="0" t="n">
        <f aca="false">D5/50</f>
        <v>0.03992</v>
      </c>
      <c r="I5" s="0" t="n">
        <f aca="false">H5*E5/2</f>
        <v>0.0252494</v>
      </c>
      <c r="J5" s="0" t="n">
        <f aca="false">(2*G5)/(E5*0.0021)</f>
        <v>0.135516657255788</v>
      </c>
      <c r="K5" s="0" t="n">
        <f aca="false">J5/I5</f>
        <v>5.36712386257843</v>
      </c>
      <c r="S5" s="0" t="s">
        <v>16</v>
      </c>
      <c r="T5" s="0" t="n">
        <f aca="false">15*10^-6</f>
        <v>1.5E-005</v>
      </c>
      <c r="X5" s="0" t="s">
        <v>16</v>
      </c>
      <c r="Y5" s="0" t="n">
        <f aca="false">15*10^-6</f>
        <v>1.5E-005</v>
      </c>
    </row>
    <row r="6" customFormat="false" ht="13.8" hidden="false" customHeight="false" outlineLevel="0" collapsed="false">
      <c r="A6" s="0" t="n">
        <v>50</v>
      </c>
      <c r="B6" s="0" t="n">
        <f aca="false">A6*2</f>
        <v>100</v>
      </c>
      <c r="C6" s="0" t="n">
        <f aca="false">LN(B6)</f>
        <v>4.60517018598809</v>
      </c>
      <c r="D6" s="0" t="n">
        <v>1.996</v>
      </c>
      <c r="E6" s="0" t="n">
        <v>1.264</v>
      </c>
      <c r="F6" s="0" t="n">
        <v>0.017</v>
      </c>
      <c r="G6" s="0" t="n">
        <f aca="false">F6/100</f>
        <v>0.00017</v>
      </c>
      <c r="H6" s="0" t="n">
        <f aca="false">D6/50</f>
        <v>0.03992</v>
      </c>
      <c r="I6" s="0" t="n">
        <f aca="false">H6*E6/2</f>
        <v>0.02522944</v>
      </c>
      <c r="J6" s="0" t="n">
        <f aca="false">(2*G6)/(E6*0.0021)</f>
        <v>0.128089210367691</v>
      </c>
      <c r="K6" s="0" t="n">
        <f aca="false">J6/I6</f>
        <v>5.07697397832419</v>
      </c>
      <c r="S6" s="0" t="s">
        <v>17</v>
      </c>
      <c r="T6" s="0" t="n">
        <f aca="false">25*10^-6</f>
        <v>2.5E-005</v>
      </c>
      <c r="X6" s="0" t="s">
        <v>17</v>
      </c>
      <c r="Y6" s="0" t="n">
        <f aca="false">25*10^-6</f>
        <v>2.5E-005</v>
      </c>
    </row>
    <row r="7" customFormat="false" ht="13.8" hidden="false" customHeight="false" outlineLevel="0" collapsed="false">
      <c r="A7" s="0" t="n">
        <v>70</v>
      </c>
      <c r="B7" s="0" t="n">
        <f aca="false">A7*2</f>
        <v>140</v>
      </c>
      <c r="C7" s="0" t="n">
        <f aca="false">LN(B7)</f>
        <v>4.9416424226093</v>
      </c>
      <c r="D7" s="0" t="n">
        <v>1.995</v>
      </c>
      <c r="E7" s="0" t="n">
        <v>1.264</v>
      </c>
      <c r="F7" s="0" t="n">
        <v>0.016</v>
      </c>
      <c r="G7" s="0" t="n">
        <f aca="false">F7/100</f>
        <v>0.00016</v>
      </c>
      <c r="H7" s="0" t="n">
        <f aca="false">D7/50</f>
        <v>0.0399</v>
      </c>
      <c r="I7" s="0" t="n">
        <f aca="false">H7*E7/2</f>
        <v>0.0252168</v>
      </c>
      <c r="J7" s="0" t="n">
        <f aca="false">(2*G7)/(E7*0.0021)</f>
        <v>0.120554550934298</v>
      </c>
      <c r="K7" s="0" t="n">
        <f aca="false">J7/I7</f>
        <v>4.78072360229283</v>
      </c>
      <c r="S7" s="0" t="s">
        <v>18</v>
      </c>
      <c r="T7" s="0" t="n">
        <f aca="false">450*10^(-9)</f>
        <v>4.5E-007</v>
      </c>
      <c r="X7" s="0" t="s">
        <v>18</v>
      </c>
      <c r="Y7" s="0" t="n">
        <f aca="false">450*10^(-9)</f>
        <v>4.5E-007</v>
      </c>
    </row>
    <row r="8" customFormat="false" ht="13.8" hidden="false" customHeight="false" outlineLevel="0" collapsed="false">
      <c r="A8" s="0" t="n">
        <v>100</v>
      </c>
      <c r="B8" s="0" t="n">
        <f aca="false">A8*2</f>
        <v>200</v>
      </c>
      <c r="C8" s="0" t="n">
        <f aca="false">LN(B8)</f>
        <v>5.29831736654804</v>
      </c>
      <c r="D8" s="0" t="n">
        <v>1.995</v>
      </c>
      <c r="E8" s="0" t="n">
        <v>1.264</v>
      </c>
      <c r="F8" s="0" t="n">
        <v>0.0157</v>
      </c>
      <c r="G8" s="0" t="n">
        <f aca="false">F8/100</f>
        <v>0.000157</v>
      </c>
      <c r="H8" s="0" t="n">
        <f aca="false">D8/50</f>
        <v>0.0399</v>
      </c>
      <c r="I8" s="0" t="n">
        <f aca="false">H8*E8/2</f>
        <v>0.0252168</v>
      </c>
      <c r="J8" s="0" t="n">
        <f aca="false">(2*G8)/(E8*0.0021)</f>
        <v>0.11829415310428</v>
      </c>
      <c r="K8" s="0" t="n">
        <f aca="false">J8/I8</f>
        <v>4.69108503474984</v>
      </c>
    </row>
    <row r="9" customFormat="false" ht="13.8" hidden="false" customHeight="false" outlineLevel="0" collapsed="false">
      <c r="A9" s="0" t="n">
        <v>200</v>
      </c>
      <c r="B9" s="0" t="n">
        <f aca="false">A9*2</f>
        <v>400</v>
      </c>
      <c r="C9" s="0" t="n">
        <f aca="false">LN(B9)</f>
        <v>5.99146454710798</v>
      </c>
      <c r="D9" s="0" t="n">
        <v>1.989</v>
      </c>
      <c r="E9" s="0" t="n">
        <v>1.26</v>
      </c>
      <c r="F9" s="0" t="n">
        <v>0.014</v>
      </c>
      <c r="G9" s="0" t="n">
        <f aca="false">F9/100</f>
        <v>0.00014</v>
      </c>
      <c r="H9" s="0" t="n">
        <f aca="false">D9/50</f>
        <v>0.03978</v>
      </c>
      <c r="I9" s="0" t="n">
        <f aca="false">H9*E9/2</f>
        <v>0.0250614</v>
      </c>
      <c r="J9" s="0" t="n">
        <f aca="false">(2*G9)/(E9*0.0021)</f>
        <v>0.105820105820106</v>
      </c>
      <c r="K9" s="0" t="n">
        <f aca="false">J9/I9</f>
        <v>4.22243393505973</v>
      </c>
      <c r="S9" s="0" t="s">
        <v>19</v>
      </c>
      <c r="T9" s="0" t="n">
        <v>-0.72365</v>
      </c>
      <c r="X9" s="0" t="s">
        <v>19</v>
      </c>
      <c r="Y9" s="0" t="n">
        <f aca="false">2*-0.72365</f>
        <v>-1.4473</v>
      </c>
    </row>
    <row r="10" customFormat="false" ht="13.8" hidden="false" customHeight="false" outlineLevel="0" collapsed="false">
      <c r="A10" s="0" t="n">
        <v>300</v>
      </c>
      <c r="B10" s="0" t="n">
        <f aca="false">A10*2</f>
        <v>600</v>
      </c>
      <c r="C10" s="0" t="n">
        <f aca="false">LN(B10)</f>
        <v>6.39692965521615</v>
      </c>
      <c r="D10" s="0" t="n">
        <v>1.98</v>
      </c>
      <c r="E10" s="0" t="n">
        <v>1.25</v>
      </c>
      <c r="F10" s="0" t="n">
        <v>0.013</v>
      </c>
      <c r="G10" s="0" t="n">
        <f aca="false">F10/100</f>
        <v>0.00013</v>
      </c>
      <c r="H10" s="0" t="n">
        <f aca="false">D10/50</f>
        <v>0.0396</v>
      </c>
      <c r="I10" s="0" t="n">
        <f aca="false">H10*E10/2</f>
        <v>0.02475</v>
      </c>
      <c r="J10" s="0" t="n">
        <f aca="false">(2*G10)/(E10*0.0021)</f>
        <v>0.0990476190476191</v>
      </c>
      <c r="K10" s="0" t="n">
        <f aca="false">J10/I10</f>
        <v>4.001924001924</v>
      </c>
      <c r="S10" s="0" t="s">
        <v>20</v>
      </c>
      <c r="T10" s="0" t="n">
        <v>-0.62259</v>
      </c>
      <c r="X10" s="0" t="s">
        <v>20</v>
      </c>
      <c r="Y10" s="0" t="n">
        <f aca="false">2*-0.62259</f>
        <v>-1.24518</v>
      </c>
    </row>
    <row r="11" customFormat="false" ht="13.8" hidden="false" customHeight="false" outlineLevel="0" collapsed="false">
      <c r="S11" s="2" t="s">
        <v>21</v>
      </c>
      <c r="T11" s="3" t="n">
        <f aca="false">(T10+T9)/2</f>
        <v>-0.67312</v>
      </c>
      <c r="X11" s="2" t="s">
        <v>21</v>
      </c>
      <c r="Y11" s="3" t="n">
        <f aca="false">(Y10+Y9)/2</f>
        <v>-1.34624</v>
      </c>
    </row>
    <row r="12" customFormat="false" ht="15" hidden="false" customHeight="false" outlineLevel="0" collapsed="false">
      <c r="A12" s="1" t="s">
        <v>33</v>
      </c>
      <c r="B12" s="1"/>
      <c r="C12" s="1"/>
      <c r="D12" s="1"/>
      <c r="E12" s="1"/>
      <c r="F12" s="1"/>
      <c r="H12" s="1"/>
      <c r="I12" s="1"/>
      <c r="J12" s="1"/>
      <c r="K12" s="1"/>
      <c r="L12" s="5"/>
      <c r="S12" s="2" t="s">
        <v>34</v>
      </c>
      <c r="T12" s="2" t="n">
        <f aca="false">ABS(1/(2*PI()*T11*T4))</f>
        <v>118.22182010035</v>
      </c>
      <c r="U12" s="0" t="s">
        <v>35</v>
      </c>
      <c r="V12" s="0" t="n">
        <f aca="false">T12/1000</f>
        <v>0.11822182010035</v>
      </c>
      <c r="X12" s="2" t="s">
        <v>34</v>
      </c>
      <c r="Y12" s="2" t="n">
        <f aca="false">ABS(1/(2*PI()*Y11*Y4))</f>
        <v>59.1109100501751</v>
      </c>
      <c r="Z12" s="0" t="s">
        <v>35</v>
      </c>
      <c r="AA12" s="0" t="n">
        <f aca="false">Y12/1000</f>
        <v>0.0591109100501751</v>
      </c>
    </row>
    <row r="13" customFormat="false" ht="13.8" hidden="false" customHeight="false" outlineLevel="0" collapsed="false"/>
    <row r="14" s="1" customFormat="true" ht="13.8" hidden="false" customHeight="false" outlineLevel="0" collapsed="false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0" t="s">
        <v>7</v>
      </c>
      <c r="H14" s="2" t="s">
        <v>8</v>
      </c>
      <c r="I14" s="2" t="s">
        <v>9</v>
      </c>
      <c r="J14" s="2" t="s">
        <v>10</v>
      </c>
      <c r="K14" s="2" t="s">
        <v>11</v>
      </c>
      <c r="M14" s="0"/>
      <c r="N14" s="0"/>
      <c r="O14" s="0"/>
      <c r="P14" s="0"/>
      <c r="Q14" s="0"/>
      <c r="R14" s="0"/>
      <c r="S14" s="1" t="s">
        <v>24</v>
      </c>
      <c r="T14" s="1" t="n">
        <v>8.505</v>
      </c>
      <c r="W14" s="0"/>
      <c r="X14" s="1" t="s">
        <v>24</v>
      </c>
      <c r="Y14" s="1" t="n">
        <f aca="false">2*8.505</f>
        <v>17.01</v>
      </c>
    </row>
    <row r="15" customFormat="false" ht="13.8" hidden="false" customHeight="false" outlineLevel="0" collapsed="false">
      <c r="A15" s="0" t="n">
        <v>20</v>
      </c>
      <c r="B15" s="0" t="n">
        <f aca="false">A15*2</f>
        <v>40</v>
      </c>
      <c r="C15" s="0" t="n">
        <f aca="false">LN(B15)</f>
        <v>3.68887945411394</v>
      </c>
      <c r="D15" s="0" t="n">
        <v>1.996</v>
      </c>
      <c r="E15" s="0" t="n">
        <v>2.106</v>
      </c>
      <c r="F15" s="0" t="n">
        <v>0.0612</v>
      </c>
      <c r="G15" s="0" t="n">
        <f aca="false">F15/100</f>
        <v>0.000612</v>
      </c>
      <c r="H15" s="0" t="n">
        <f aca="false">D15/50</f>
        <v>0.03992</v>
      </c>
      <c r="I15" s="0" t="n">
        <f aca="false">H15*E15/2</f>
        <v>0.04203576</v>
      </c>
      <c r="J15" s="0" t="n">
        <f aca="false">(2*G15)/(E15*0.0021)</f>
        <v>0.276760276760277</v>
      </c>
      <c r="K15" s="0" t="n">
        <f aca="false">J15/I15</f>
        <v>6.58392465748869</v>
      </c>
      <c r="S15" s="0" t="s">
        <v>25</v>
      </c>
      <c r="T15" s="0" t="n">
        <v>9.1779</v>
      </c>
      <c r="X15" s="0" t="s">
        <v>25</v>
      </c>
      <c r="Y15" s="0" t="n">
        <f aca="false">2*9.1779</f>
        <v>18.3558</v>
      </c>
    </row>
    <row r="16" s="1" customFormat="true" ht="15" hidden="false" customHeight="false" outlineLevel="0" collapsed="false">
      <c r="A16" s="1" t="n">
        <v>50</v>
      </c>
      <c r="B16" s="1" t="n">
        <f aca="false">A16*2</f>
        <v>100</v>
      </c>
      <c r="C16" s="1" t="n">
        <f aca="false">LN(B16)</f>
        <v>4.60517018598809</v>
      </c>
      <c r="D16" s="1" t="n">
        <v>1.997</v>
      </c>
      <c r="E16" s="1" t="n">
        <v>2.106</v>
      </c>
      <c r="F16" s="1" t="n">
        <v>0.0567</v>
      </c>
      <c r="G16" s="0" t="n">
        <f aca="false">F16/100</f>
        <v>0.000567</v>
      </c>
      <c r="H16" s="1" t="n">
        <f aca="false">D16/50</f>
        <v>0.03994</v>
      </c>
      <c r="I16" s="1" t="n">
        <f aca="false">H16*E16/2</f>
        <v>0.04205682</v>
      </c>
      <c r="J16" s="0" t="n">
        <f aca="false">(2*G16)/(E16*0.0021)</f>
        <v>0.256410256410256</v>
      </c>
      <c r="K16" s="1" t="n">
        <f aca="false">J16/I16</f>
        <v>6.09675806231323</v>
      </c>
      <c r="M16" s="5"/>
      <c r="N16" s="5"/>
      <c r="O16" s="5"/>
      <c r="P16" s="5"/>
      <c r="R16" s="0"/>
      <c r="S16" s="0" t="s">
        <v>26</v>
      </c>
      <c r="T16" s="0" t="n">
        <f aca="false">ABS(T15-T14)</f>
        <v>0.672899999999999</v>
      </c>
      <c r="U16" s="0" t="s">
        <v>30</v>
      </c>
      <c r="V16" s="0" t="n">
        <f aca="false">T14-T15</f>
        <v>-0.672899999999999</v>
      </c>
      <c r="W16" s="0"/>
      <c r="X16" s="0" t="s">
        <v>26</v>
      </c>
      <c r="Y16" s="0" t="n">
        <f aca="false">ABS(Y15-Y14)</f>
        <v>1.3458</v>
      </c>
      <c r="Z16" s="0" t="s">
        <v>30</v>
      </c>
      <c r="AA16" s="0" t="n">
        <f aca="false">Y14-Y15</f>
        <v>-1.3458</v>
      </c>
    </row>
    <row r="17" customFormat="false" ht="13.8" hidden="false" customHeight="false" outlineLevel="0" collapsed="false">
      <c r="A17" s="0" t="n">
        <v>70</v>
      </c>
      <c r="B17" s="0" t="n">
        <f aca="false">A17*2</f>
        <v>140</v>
      </c>
      <c r="C17" s="0" t="n">
        <f aca="false">LN(B17)</f>
        <v>4.9416424226093</v>
      </c>
      <c r="D17" s="0" t="n">
        <v>1.996</v>
      </c>
      <c r="E17" s="0" t="n">
        <v>2.105</v>
      </c>
      <c r="F17" s="0" t="n">
        <v>0.0553</v>
      </c>
      <c r="G17" s="0" t="n">
        <f aca="false">F17/100</f>
        <v>0.000553</v>
      </c>
      <c r="H17" s="0" t="n">
        <f aca="false">D17/50</f>
        <v>0.03992</v>
      </c>
      <c r="I17" s="0" t="n">
        <f aca="false">H17*E17/2</f>
        <v>0.0420158</v>
      </c>
      <c r="J17" s="0" t="n">
        <f aca="false">(2*G17)/(E17*0.0021)</f>
        <v>0.250197941409343</v>
      </c>
      <c r="K17" s="0" t="n">
        <f aca="false">J17/I17</f>
        <v>5.95485368383662</v>
      </c>
      <c r="S17" s="0" t="s">
        <v>27</v>
      </c>
      <c r="T17" s="0" t="n">
        <f aca="false">((T5)^(-1)-(T6)^(-1))*T7</f>
        <v>0.012</v>
      </c>
      <c r="X17" s="0" t="s">
        <v>27</v>
      </c>
      <c r="Y17" s="0" t="n">
        <f aca="false">((Y5)^(-1)-(Y6)^(-1))*Y7</f>
        <v>0.012</v>
      </c>
    </row>
    <row r="18" customFormat="false" ht="13.8" hidden="false" customHeight="false" outlineLevel="0" collapsed="false">
      <c r="A18" s="0" t="n">
        <v>100</v>
      </c>
      <c r="B18" s="0" t="n">
        <f aca="false">A18*2</f>
        <v>200</v>
      </c>
      <c r="C18" s="0" t="n">
        <f aca="false">LN(B18)</f>
        <v>5.29831736654804</v>
      </c>
      <c r="D18" s="0" t="n">
        <v>1.995</v>
      </c>
      <c r="E18" s="0" t="n">
        <v>2.104</v>
      </c>
      <c r="F18" s="0" t="n">
        <v>0.0539</v>
      </c>
      <c r="G18" s="0" t="n">
        <f aca="false">F18/100</f>
        <v>0.000539</v>
      </c>
      <c r="H18" s="0" t="n">
        <f aca="false">D18/50</f>
        <v>0.0399</v>
      </c>
      <c r="I18" s="0" t="n">
        <f aca="false">H18*E18/2</f>
        <v>0.0419748</v>
      </c>
      <c r="J18" s="0" t="n">
        <f aca="false">(2*G18)/(E18*0.0021)</f>
        <v>0.243979721166033</v>
      </c>
      <c r="K18" s="0" t="n">
        <f aca="false">J18/I18</f>
        <v>5.81252849724199</v>
      </c>
      <c r="S18" s="0" t="s">
        <v>28</v>
      </c>
      <c r="T18" s="0" t="n">
        <f aca="false">2*T23*(T16-LN(T6/T5)/(2*PI()*T23*T12))</f>
        <v>0.00131621222452254</v>
      </c>
      <c r="X18" s="0" t="s">
        <v>28</v>
      </c>
      <c r="Y18" s="0" t="n">
        <f aca="false">2*Y23*(Y16-LN(Y6/Y5)/(2*PI()*Y23*Y12))</f>
        <v>0.00263242444904508</v>
      </c>
    </row>
    <row r="19" customFormat="false" ht="13.8" hidden="false" customHeight="false" outlineLevel="0" collapsed="false">
      <c r="A19" s="0" t="n">
        <v>150</v>
      </c>
      <c r="B19" s="0" t="n">
        <f aca="false">A19*2</f>
        <v>300</v>
      </c>
      <c r="C19" s="0" t="n">
        <f aca="false">LN(B19)</f>
        <v>5.7037824746562</v>
      </c>
      <c r="D19" s="0" t="n">
        <v>1.993</v>
      </c>
      <c r="E19" s="0" t="n">
        <v>2.102</v>
      </c>
      <c r="F19" s="0" t="n">
        <v>0.0522</v>
      </c>
      <c r="G19" s="0" t="n">
        <f aca="false">F19/100</f>
        <v>0.000522</v>
      </c>
      <c r="H19" s="0" t="n">
        <f aca="false">D19/50</f>
        <v>0.03986</v>
      </c>
      <c r="I19" s="0" t="n">
        <f aca="false">H19*E19/2</f>
        <v>0.04189286</v>
      </c>
      <c r="J19" s="0" t="n">
        <f aca="false">(2*G19)/(E19*0.0021)</f>
        <v>0.236509446785374</v>
      </c>
      <c r="K19" s="0" t="n">
        <f aca="false">J19/I19</f>
        <v>5.64557890736929</v>
      </c>
      <c r="S19" s="0" t="s">
        <v>29</v>
      </c>
      <c r="T19" s="0" t="n">
        <f aca="false">T17/T18</f>
        <v>9.11707077052338</v>
      </c>
      <c r="U19" s="0" t="s">
        <v>36</v>
      </c>
      <c r="V19" s="0" t="n">
        <f aca="false">T19/1000</f>
        <v>0.00911707077052338</v>
      </c>
      <c r="X19" s="0" t="s">
        <v>29</v>
      </c>
      <c r="Y19" s="0" t="n">
        <f aca="false">Y17/Y18</f>
        <v>4.55853538526169</v>
      </c>
      <c r="Z19" s="0" t="s">
        <v>36</v>
      </c>
      <c r="AA19" s="0" t="n">
        <f aca="false">Y19/1000</f>
        <v>0.00455853538526169</v>
      </c>
    </row>
    <row r="20" customFormat="false" ht="13.8" hidden="false" customHeight="false" outlineLevel="0" collapsed="false">
      <c r="A20" s="0" t="n">
        <v>200</v>
      </c>
      <c r="B20" s="0" t="n">
        <f aca="false">A20*2</f>
        <v>400</v>
      </c>
      <c r="C20" s="0" t="n">
        <f aca="false">LN(B20)</f>
        <v>5.99146454710798</v>
      </c>
      <c r="D20" s="0" t="n">
        <v>1.989</v>
      </c>
      <c r="E20" s="0" t="n">
        <v>2.099</v>
      </c>
      <c r="F20" s="0" t="n">
        <v>0.0504</v>
      </c>
      <c r="G20" s="0" t="n">
        <f aca="false">F20/100</f>
        <v>0.000504</v>
      </c>
      <c r="H20" s="0" t="n">
        <f aca="false">D20/50</f>
        <v>0.03978</v>
      </c>
      <c r="I20" s="0" t="n">
        <f aca="false">H20*E20/2</f>
        <v>0.04174911</v>
      </c>
      <c r="J20" s="0" t="n">
        <f aca="false">(2*G20)/(E20*0.0021)</f>
        <v>0.228680323963792</v>
      </c>
      <c r="K20" s="0" t="n">
        <f aca="false">J20/I20</f>
        <v>5.47748979472358</v>
      </c>
    </row>
    <row r="21" customFormat="false" ht="13.8" hidden="false" customHeight="false" outlineLevel="0" collapsed="false">
      <c r="A21" s="0" t="n">
        <v>300</v>
      </c>
      <c r="B21" s="0" t="n">
        <f aca="false">A21*2</f>
        <v>600</v>
      </c>
      <c r="C21" s="0" t="n">
        <f aca="false">LN(B21)</f>
        <v>6.39692965521615</v>
      </c>
      <c r="D21" s="0" t="n">
        <v>1.981</v>
      </c>
      <c r="E21" s="0" t="n">
        <v>2.089</v>
      </c>
      <c r="F21" s="0" t="n">
        <v>0.047</v>
      </c>
      <c r="G21" s="0" t="n">
        <f aca="false">F21/100</f>
        <v>0.00047</v>
      </c>
      <c r="H21" s="0" t="n">
        <f aca="false">D21/50</f>
        <v>0.03962</v>
      </c>
      <c r="I21" s="0" t="n">
        <f aca="false">H21*E21/2</f>
        <v>0.04138309</v>
      </c>
      <c r="J21" s="0" t="n">
        <f aca="false">(2*G21)/(E21*0.0021)</f>
        <v>0.214274316715676</v>
      </c>
      <c r="K21" s="0" t="n">
        <f aca="false">J21/I21</f>
        <v>5.17782303630967</v>
      </c>
    </row>
    <row r="22" customFormat="false" ht="13.8" hidden="false" customHeight="false" outlineLevel="0" collapsed="false">
      <c r="A22" s="0" t="n">
        <v>400</v>
      </c>
      <c r="B22" s="0" t="n">
        <f aca="false">A22*2</f>
        <v>800</v>
      </c>
      <c r="C22" s="0" t="n">
        <f aca="false">LN(B22)</f>
        <v>6.68461172766793</v>
      </c>
      <c r="D22" s="0" t="n">
        <v>1.969</v>
      </c>
      <c r="E22" s="0" t="n">
        <v>2.077</v>
      </c>
      <c r="F22" s="0" t="n">
        <v>0.0431</v>
      </c>
      <c r="G22" s="0" t="n">
        <f aca="false">F22/100</f>
        <v>0.000431</v>
      </c>
      <c r="H22" s="0" t="n">
        <f aca="false">D22/50</f>
        <v>0.03938</v>
      </c>
      <c r="I22" s="0" t="n">
        <f aca="false">H22*E22/2</f>
        <v>0.04089613</v>
      </c>
      <c r="J22" s="0" t="n">
        <f aca="false">(2*G22)/(E22*0.0021)</f>
        <v>0.197629364697251</v>
      </c>
      <c r="K22" s="0" t="n">
        <f aca="false">J22/I22</f>
        <v>4.83247106015291</v>
      </c>
    </row>
    <row r="23" customFormat="false" ht="13.8" hidden="false" customHeight="false" outlineLevel="0" collapsed="false">
      <c r="A23" s="0" t="n">
        <v>500</v>
      </c>
      <c r="B23" s="0" t="n">
        <f aca="false">A23*2</f>
        <v>1000</v>
      </c>
      <c r="C23" s="0" t="n">
        <f aca="false">LN(B23)</f>
        <v>6.90775527898214</v>
      </c>
      <c r="D23" s="0" t="n">
        <v>1.953</v>
      </c>
      <c r="E23" s="0" t="n">
        <v>2.06</v>
      </c>
      <c r="F23" s="0" t="n">
        <v>0.039</v>
      </c>
      <c r="G23" s="0" t="n">
        <f aca="false">F23/100</f>
        <v>0.00039</v>
      </c>
      <c r="H23" s="0" t="n">
        <f aca="false">D23/50</f>
        <v>0.03906</v>
      </c>
      <c r="I23" s="0" t="n">
        <f aca="false">H23*E23/2</f>
        <v>0.0402318</v>
      </c>
      <c r="J23" s="0" t="n">
        <f aca="false">(2*G23)/(E23*0.0021)</f>
        <v>0.180305131761442</v>
      </c>
      <c r="K23" s="0" t="n">
        <f aca="false">J23/I23</f>
        <v>4.4816570911926</v>
      </c>
      <c r="T23" s="0" t="n">
        <f aca="false">0.002</f>
        <v>0.002</v>
      </c>
      <c r="Y23" s="0" t="n">
        <v>0.002</v>
      </c>
    </row>
    <row r="24" customFormat="false" ht="13.8" hidden="false" customHeight="false" outlineLevel="0" collapsed="false">
      <c r="A24" s="0" t="n">
        <v>800</v>
      </c>
      <c r="B24" s="0" t="n">
        <f aca="false">A24*2</f>
        <v>1600</v>
      </c>
      <c r="C24" s="0" t="n">
        <f aca="false">LN(B24)</f>
        <v>7.37775890822787</v>
      </c>
      <c r="D24" s="0" t="n">
        <v>1.885</v>
      </c>
      <c r="E24" s="0" t="n">
        <v>1.988</v>
      </c>
      <c r="F24" s="0" t="n">
        <v>0.0323</v>
      </c>
      <c r="G24" s="0" t="n">
        <f aca="false">F24/100</f>
        <v>0.000323</v>
      </c>
      <c r="H24" s="0" t="n">
        <f aca="false">D24/50</f>
        <v>0.0377</v>
      </c>
      <c r="I24" s="0" t="n">
        <f aca="false">H24*E24/2</f>
        <v>0.0374738</v>
      </c>
      <c r="J24" s="0" t="n">
        <f aca="false">(2*G24)/(E24*0.0021)</f>
        <v>0.154737951518636</v>
      </c>
      <c r="K24" s="0" t="n">
        <f aca="false">J24/I24</f>
        <v>4.12923032942044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n">
        <v>1000</v>
      </c>
      <c r="B32" s="0" t="n">
        <f aca="false">A32*2</f>
        <v>2000</v>
      </c>
      <c r="C32" s="0" t="n">
        <f aca="false">LN(B32)</f>
        <v>7.60090245954208</v>
      </c>
      <c r="D32" s="0" t="n">
        <v>1.824</v>
      </c>
      <c r="E32" s="0" t="n">
        <v>1.923</v>
      </c>
      <c r="F32" s="0" t="n">
        <v>0.038</v>
      </c>
      <c r="G32" s="0" t="n">
        <f aca="false">D32/50</f>
        <v>0.03648</v>
      </c>
      <c r="H32" s="0" t="n">
        <f aca="false">G32*E32/2</f>
        <v>0.03507552</v>
      </c>
      <c r="I32" s="0" t="n">
        <f aca="false">(2*F32)/(E32*0.0021)</f>
        <v>18.8198004110641</v>
      </c>
      <c r="J32" s="0" t="n">
        <f aca="false">I32/H32</f>
        <v>536.550859718233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4" activeCellId="0" sqref="G4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12.17"/>
    <col collapsed="false" customWidth="true" hidden="false" outlineLevel="0" max="4" min="3" style="0" width="11.84"/>
  </cols>
  <sheetData>
    <row r="2" customFormat="false" ht="15" hidden="false" customHeight="false" outlineLevel="0" collapsed="false">
      <c r="C2" s="6" t="s">
        <v>38</v>
      </c>
      <c r="D2" s="6" t="s">
        <v>39</v>
      </c>
    </row>
    <row r="3" customFormat="false" ht="15" hidden="false" customHeight="false" outlineLevel="0" collapsed="false">
      <c r="B3" s="1" t="s">
        <v>40</v>
      </c>
      <c r="C3" s="1"/>
      <c r="D3" s="1"/>
    </row>
    <row r="4" customFormat="false" ht="13.8" hidden="false" customHeight="false" outlineLevel="0" collapsed="false">
      <c r="B4" s="1" t="s">
        <v>41</v>
      </c>
      <c r="C4" s="1" t="n">
        <f aca="false">SiO2!T19</f>
        <v>1.18212608424737</v>
      </c>
      <c r="D4" s="1" t="n">
        <f aca="false">SiNs!T19</f>
        <v>9.11707077052338</v>
      </c>
      <c r="E4" s="0" t="n">
        <f aca="false">C4/2</f>
        <v>0.591063042123686</v>
      </c>
      <c r="F4" s="0" t="n">
        <f aca="false">D4/2</f>
        <v>4.55853538526169</v>
      </c>
    </row>
    <row r="5" customFormat="false" ht="13.8" hidden="false" customHeight="false" outlineLevel="0" collapsed="false">
      <c r="B5" s="1" t="s">
        <v>42</v>
      </c>
      <c r="C5" s="1" t="n">
        <f aca="false">SiO2!T12</f>
        <v>135.240385690283</v>
      </c>
      <c r="D5" s="1" t="n">
        <f aca="false">SiNs!T12</f>
        <v>118.22182010035</v>
      </c>
      <c r="E5" s="0" t="n">
        <f aca="false">C5/2</f>
        <v>67.6201928451413</v>
      </c>
      <c r="F5" s="0" t="n">
        <f aca="false">D5/2</f>
        <v>59.1109100501751</v>
      </c>
    </row>
    <row r="6" customFormat="false" ht="15" hidden="false" customHeight="false" outlineLevel="0" collapsed="false">
      <c r="B6" s="7" t="s">
        <v>43</v>
      </c>
      <c r="C6" s="7"/>
      <c r="D6" s="7"/>
    </row>
    <row r="7" customFormat="false" ht="15" hidden="false" customHeight="false" outlineLevel="0" collapsed="false">
      <c r="B7" s="7" t="s">
        <v>44</v>
      </c>
      <c r="C7" s="7" t="n">
        <v>1.35</v>
      </c>
      <c r="D7" s="7" t="n">
        <v>2.23</v>
      </c>
    </row>
    <row r="8" customFormat="false" ht="15" hidden="false" customHeight="false" outlineLevel="0" collapsed="false">
      <c r="B8" s="7" t="s">
        <v>42</v>
      </c>
      <c r="C8" s="7" t="n">
        <v>92</v>
      </c>
      <c r="D8" s="7" t="n">
        <v>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LibreOffice/7.2.2.2$Linux_X86_64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2022-10-24T11:03:45Z</dcterms:created>
  <dc:creator>Sara Gonzalez Miguez</dc:creator>
  <dc:description/>
  <dc:language>en-US</dc:language>
  <cp:lastModifiedBy/>
  <dcterms:modified xsi:type="dcterms:W3CDTF">2022-12-10T19:02:18Z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